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2150" windowHeight="9090"/>
  </bookViews>
  <sheets>
    <sheet name="4metatar" sheetId="1" r:id="rId1"/>
  </sheets>
  <externalReferences>
    <externalReference r:id="rId2"/>
  </externalReferences>
  <definedNames>
    <definedName name="ANSWERS">'4metatar'!$M$68:$Z$142</definedName>
    <definedName name="HEADER">'4metatar'!$A$4:$J$12</definedName>
    <definedName name="HELP_FILE">'4metatar'!$AE$1:$AL$18</definedName>
    <definedName name="KNOWLEDGE_BASE">'4metatar'!$T$1:$AD$29</definedName>
    <definedName name="LOGO">'4metatar'!$A$1:$J$3</definedName>
    <definedName name="PARAMETERS">'4metatar'!$A$1:$J$67</definedName>
    <definedName name="_xlnm.Print_Area" localSheetId="0">'4metatar'!$AE$20:$AL$43</definedName>
    <definedName name="RAW_DATA">'4metatar'!$A$68:$M$142</definedName>
    <definedName name="RW_CALC">'4metatar'!$K$44:$T$67</definedName>
    <definedName name="TITLE">'4metatar'!$AM$1:$AV$22</definedName>
    <definedName name="WEASEL">'4metatar'!$AE$20:$AL$43</definedName>
  </definedNames>
  <calcPr calcId="144525"/>
</workbook>
</file>

<file path=xl/calcChain.xml><?xml version="1.0" encoding="utf-8"?>
<calcChain xmlns="http://schemas.openxmlformats.org/spreadsheetml/2006/main">
  <c r="P8" i="1" l="1"/>
  <c r="O8" i="1"/>
  <c r="O6" i="1"/>
  <c r="L15" i="1"/>
  <c r="Z4" i="1" s="1"/>
  <c r="L9" i="1"/>
  <c r="AA4" i="1" s="1"/>
  <c r="L5" i="1"/>
  <c r="AO5" i="1"/>
  <c r="AQ5" i="1"/>
  <c r="L6" i="1"/>
  <c r="P6" i="1"/>
  <c r="G43" i="1"/>
  <c r="Q8" i="1" s="1"/>
  <c r="R6" i="1"/>
  <c r="Z6" i="1"/>
  <c r="AD6" i="1" s="1"/>
  <c r="AO6" i="1"/>
  <c r="AQ6" i="1"/>
  <c r="AS6" i="1"/>
  <c r="AQ13" i="1"/>
  <c r="AR13" i="1"/>
  <c r="L7" i="1"/>
  <c r="O7" i="1"/>
  <c r="P7" i="1"/>
  <c r="R7" i="1"/>
  <c r="Z7" i="1"/>
  <c r="AD7" i="1"/>
  <c r="AO7" i="1"/>
  <c r="AQ7" i="1"/>
  <c r="L8" i="1"/>
  <c r="R8" i="1"/>
  <c r="Z8" i="1"/>
  <c r="AD8" i="1" s="1"/>
  <c r="AO8" i="1"/>
  <c r="AQ8" i="1"/>
  <c r="Z9" i="1"/>
  <c r="AD9" i="1"/>
  <c r="AO9" i="1"/>
  <c r="AQ9" i="1"/>
  <c r="L10" i="1"/>
  <c r="Z10" i="1"/>
  <c r="AD10" i="1" s="1"/>
  <c r="AO10" i="1"/>
  <c r="AQ10" i="1"/>
  <c r="L11" i="1"/>
  <c r="Z11" i="1"/>
  <c r="AD11" i="1"/>
  <c r="L12" i="1"/>
  <c r="Z12" i="1"/>
  <c r="AD12" i="1" s="1"/>
  <c r="AO12" i="1"/>
  <c r="AQ12" i="1"/>
  <c r="L13" i="1"/>
  <c r="Z13" i="1"/>
  <c r="AD13" i="1" s="1"/>
  <c r="AA13" i="1"/>
  <c r="AO13" i="1"/>
  <c r="L14" i="1"/>
  <c r="Z14" i="1"/>
  <c r="AD14" i="1" s="1"/>
  <c r="AO14" i="1"/>
  <c r="AQ14" i="1"/>
  <c r="Z15" i="1"/>
  <c r="AD15" i="1" s="1"/>
  <c r="AQ15" i="1"/>
  <c r="L28" i="1"/>
  <c r="D16" i="1" s="1"/>
  <c r="L25" i="1"/>
  <c r="E16" i="1" s="1"/>
  <c r="L16" i="1"/>
  <c r="Z16" i="1"/>
  <c r="AD16" i="1" s="1"/>
  <c r="L17" i="1"/>
  <c r="Z17" i="1"/>
  <c r="AD17" i="1" s="1"/>
  <c r="L18" i="1"/>
  <c r="Z18" i="1"/>
  <c r="AD18" i="1" s="1"/>
  <c r="C19" i="1"/>
  <c r="AQ76" i="1" s="1"/>
  <c r="D19" i="1"/>
  <c r="BB69" i="1" s="1"/>
  <c r="L19" i="1"/>
  <c r="Z19" i="1"/>
  <c r="AD19" i="1" s="1"/>
  <c r="AA19" i="1"/>
  <c r="L20" i="1"/>
  <c r="Z20" i="1"/>
  <c r="AD20" i="1"/>
  <c r="L21" i="1"/>
  <c r="Z21" i="1"/>
  <c r="AD21" i="1"/>
  <c r="C39" i="1"/>
  <c r="AO75" i="1" s="1"/>
  <c r="L22" i="1"/>
  <c r="Z22" i="1"/>
  <c r="AD22" i="1" s="1"/>
  <c r="L23" i="1"/>
  <c r="Z23" i="1"/>
  <c r="AD23" i="1"/>
  <c r="L24" i="1"/>
  <c r="T49" i="1" s="1"/>
  <c r="Z24" i="1"/>
  <c r="AD24" i="1"/>
  <c r="Z25" i="1"/>
  <c r="AD25" i="1" s="1"/>
  <c r="L26" i="1"/>
  <c r="Z26" i="1"/>
  <c r="AD26" i="1" s="1"/>
  <c r="L27" i="1"/>
  <c r="Z27" i="1"/>
  <c r="AD27" i="1" s="1"/>
  <c r="Z28" i="1"/>
  <c r="AD28" i="1" s="1"/>
  <c r="L29" i="1"/>
  <c r="L30" i="1"/>
  <c r="T56" i="1" s="1"/>
  <c r="D31" i="1"/>
  <c r="H31" i="1" s="1"/>
  <c r="L31" i="1"/>
  <c r="L32" i="1"/>
  <c r="T84" i="1" s="1"/>
  <c r="L33" i="1"/>
  <c r="D34" i="1"/>
  <c r="H34" i="1"/>
  <c r="L34" i="1"/>
  <c r="L35" i="1"/>
  <c r="L36" i="1"/>
  <c r="D37" i="1"/>
  <c r="H37" i="1" s="1"/>
  <c r="CM69" i="1" s="1"/>
  <c r="L37" i="1"/>
  <c r="L38" i="1"/>
  <c r="L39" i="1"/>
  <c r="L40" i="1"/>
  <c r="B42" i="1"/>
  <c r="S56" i="1"/>
  <c r="S58" i="1"/>
  <c r="S59" i="1"/>
  <c r="Q61" i="1"/>
  <c r="BY68" i="1"/>
  <c r="BY69" i="1" s="1"/>
  <c r="BY70" i="1" s="1"/>
  <c r="AI69" i="1"/>
  <c r="AJ69" i="1"/>
  <c r="AL69" i="1"/>
  <c r="AL75" i="1" s="1"/>
  <c r="AT69" i="1"/>
  <c r="AN69" i="1"/>
  <c r="AA74" i="1" s="1"/>
  <c r="BP69" i="1"/>
  <c r="BQ69" i="1"/>
  <c r="BR69" i="1"/>
  <c r="BS69" i="1"/>
  <c r="CB69" i="1"/>
  <c r="BY71" i="1"/>
  <c r="BY72" i="1" s="1"/>
  <c r="BY73" i="1" s="1"/>
  <c r="AJ73" i="1"/>
  <c r="AK73" i="1"/>
  <c r="AQ73" i="1"/>
  <c r="AO73" i="1"/>
  <c r="AI73" i="1"/>
  <c r="M73" i="1"/>
  <c r="AJ74" i="1"/>
  <c r="AK74" i="1" s="1"/>
  <c r="AL74" i="1"/>
  <c r="AQ74" i="1"/>
  <c r="AI74" i="1"/>
  <c r="M74" i="1"/>
  <c r="AJ75" i="1"/>
  <c r="AK75" i="1" s="1"/>
  <c r="AQ75" i="1"/>
  <c r="AI75" i="1"/>
  <c r="M75" i="1"/>
  <c r="AJ76" i="1"/>
  <c r="AK76" i="1"/>
  <c r="AL76" i="1"/>
  <c r="AI76" i="1"/>
  <c r="M76" i="1"/>
  <c r="AJ77" i="1"/>
  <c r="AK77" i="1"/>
  <c r="AL77" i="1"/>
  <c r="AQ77" i="1"/>
  <c r="AO77" i="1"/>
  <c r="AI77" i="1"/>
  <c r="M77" i="1"/>
  <c r="AJ78" i="1"/>
  <c r="AK78" i="1" s="1"/>
  <c r="AL78" i="1"/>
  <c r="AQ78" i="1"/>
  <c r="AI78" i="1"/>
  <c r="M78" i="1"/>
  <c r="AJ79" i="1"/>
  <c r="AK79" i="1"/>
  <c r="AL79" i="1"/>
  <c r="AQ79" i="1"/>
  <c r="AI79" i="1"/>
  <c r="M79" i="1"/>
  <c r="AJ80" i="1"/>
  <c r="AL80" i="1"/>
  <c r="AQ80" i="1"/>
  <c r="AI80" i="1"/>
  <c r="M80" i="1"/>
  <c r="P70" i="1"/>
  <c r="W70" i="1"/>
  <c r="X70" i="1"/>
  <c r="Y70" i="1"/>
  <c r="B71" i="1"/>
  <c r="F71" i="1"/>
  <c r="V71" i="1"/>
  <c r="Z73" i="1"/>
  <c r="BQ73" i="1"/>
  <c r="BR73" i="1"/>
  <c r="BS73" i="1"/>
  <c r="BX73" i="1"/>
  <c r="BZ73" i="1"/>
  <c r="DN73" i="1"/>
  <c r="DO73" i="1"/>
  <c r="DP73" i="1"/>
  <c r="Z74" i="1"/>
  <c r="BQ74" i="1"/>
  <c r="BR74" i="1"/>
  <c r="BS74" i="1"/>
  <c r="BX74" i="1"/>
  <c r="BZ74" i="1"/>
  <c r="DN74" i="1"/>
  <c r="DO74" i="1"/>
  <c r="DP74" i="1"/>
  <c r="Z75" i="1"/>
  <c r="BQ75" i="1"/>
  <c r="BR75" i="1"/>
  <c r="BS75" i="1"/>
  <c r="BX75" i="1"/>
  <c r="BZ75" i="1"/>
  <c r="DN75" i="1"/>
  <c r="DO75" i="1"/>
  <c r="DP75" i="1"/>
  <c r="F76" i="1"/>
  <c r="Z76" i="1"/>
  <c r="BQ76" i="1"/>
  <c r="BR76" i="1"/>
  <c r="BS76" i="1"/>
  <c r="BX76" i="1"/>
  <c r="BZ76" i="1"/>
  <c r="DN76" i="1"/>
  <c r="DO76" i="1"/>
  <c r="DP76" i="1"/>
  <c r="Z77" i="1"/>
  <c r="BQ77" i="1"/>
  <c r="BR77" i="1"/>
  <c r="BS77" i="1"/>
  <c r="BX77" i="1"/>
  <c r="BZ77" i="1"/>
  <c r="DN77" i="1"/>
  <c r="DO77" i="1"/>
  <c r="DP77" i="1"/>
  <c r="F78" i="1"/>
  <c r="Z78" i="1"/>
  <c r="BQ78" i="1"/>
  <c r="BR78" i="1"/>
  <c r="BS78" i="1"/>
  <c r="BX78" i="1"/>
  <c r="BZ78" i="1"/>
  <c r="DN78" i="1"/>
  <c r="DO78" i="1"/>
  <c r="DP78" i="1"/>
  <c r="Z79" i="1"/>
  <c r="BQ79" i="1"/>
  <c r="BR79" i="1"/>
  <c r="BS79" i="1"/>
  <c r="BX79" i="1"/>
  <c r="BZ79" i="1"/>
  <c r="DN79" i="1"/>
  <c r="DO79" i="1"/>
  <c r="DP79" i="1"/>
  <c r="F80" i="1"/>
  <c r="Z80" i="1"/>
  <c r="BQ80" i="1"/>
  <c r="BR80" i="1"/>
  <c r="BS80" i="1"/>
  <c r="BX80" i="1"/>
  <c r="BZ80" i="1"/>
  <c r="DN80" i="1"/>
  <c r="DO80" i="1"/>
  <c r="DP80" i="1"/>
  <c r="P83" i="1"/>
  <c r="S83" i="1"/>
  <c r="R84" i="1"/>
  <c r="W85" i="1"/>
  <c r="X85" i="1"/>
  <c r="Z85" i="1"/>
  <c r="W86" i="1"/>
  <c r="X86" i="1"/>
  <c r="Z86" i="1"/>
  <c r="AB86" i="1"/>
  <c r="W87" i="1"/>
  <c r="X87" i="1"/>
  <c r="Y87" i="1"/>
  <c r="Z87" i="1"/>
  <c r="AO80" i="1" l="1"/>
  <c r="F74" i="1"/>
  <c r="AO78" i="1"/>
  <c r="AO74" i="1"/>
  <c r="T55" i="1"/>
  <c r="E34" i="1"/>
  <c r="E22" i="1"/>
  <c r="AA21" i="1"/>
  <c r="AA20" i="1"/>
  <c r="AA12" i="1"/>
  <c r="AA11" i="1"/>
  <c r="AO79" i="1"/>
  <c r="AO76" i="1"/>
  <c r="AY69" i="1"/>
  <c r="B45" i="1"/>
  <c r="CL69" i="1"/>
  <c r="E28" i="1"/>
  <c r="D22" i="1"/>
  <c r="CD69" i="1" s="1"/>
  <c r="M71" i="1"/>
  <c r="AA73" i="1"/>
  <c r="CA69" i="1"/>
  <c r="F79" i="1"/>
  <c r="F77" i="1"/>
  <c r="F75" i="1"/>
  <c r="AI71" i="1"/>
  <c r="L71" i="1"/>
  <c r="CK69" i="1"/>
  <c r="T64" i="1"/>
  <c r="T57" i="1"/>
  <c r="B51" i="1"/>
  <c r="AA24" i="1"/>
  <c r="AA23" i="1"/>
  <c r="AA22" i="1"/>
  <c r="AA15" i="1"/>
  <c r="AA9" i="1"/>
  <c r="AA7" i="1"/>
  <c r="AA6" i="1"/>
  <c r="U84" i="1"/>
  <c r="A71" i="1"/>
  <c r="AA79" i="1"/>
  <c r="AA78" i="1"/>
  <c r="AA75" i="1"/>
  <c r="S84" i="1"/>
  <c r="Z71" i="1"/>
  <c r="AA80" i="1"/>
  <c r="AA77" i="1"/>
  <c r="AA76" i="1"/>
  <c r="S49" i="1"/>
  <c r="E37" i="1"/>
  <c r="E31" i="1"/>
  <c r="AA28" i="1"/>
  <c r="AA27" i="1"/>
  <c r="AA26" i="1"/>
  <c r="AA25" i="1"/>
  <c r="E19" i="1"/>
  <c r="AA18" i="1"/>
  <c r="AA17" i="1"/>
  <c r="AA16" i="1"/>
  <c r="AA14" i="1"/>
  <c r="AA10" i="1"/>
  <c r="AA8" i="1"/>
  <c r="Z5" i="1"/>
  <c r="AD5" i="1" s="1"/>
  <c r="BY74" i="1"/>
  <c r="AK80" i="1"/>
  <c r="AL73" i="1"/>
  <c r="AD4" i="1"/>
  <c r="T58" i="1"/>
  <c r="B48" i="1"/>
  <c r="T59" i="1"/>
  <c r="S55" i="1"/>
  <c r="S57" i="1"/>
  <c r="S64" i="1" s="1"/>
  <c r="P64" i="1" s="1"/>
  <c r="D25" i="1"/>
  <c r="AC27" i="1" s="1"/>
  <c r="E25" i="1"/>
  <c r="AA5" i="1"/>
  <c r="Q7" i="1"/>
  <c r="Y86" i="1" s="1"/>
  <c r="Q6" i="1"/>
  <c r="Y85" i="1" s="1"/>
  <c r="M61" i="1" l="1"/>
  <c r="O61" i="1"/>
  <c r="AB4" i="1"/>
  <c r="AB6" i="1"/>
  <c r="AB16" i="1"/>
  <c r="AB18" i="1"/>
  <c r="AB23" i="1"/>
  <c r="F31" i="1"/>
  <c r="F34" i="1"/>
  <c r="F37" i="1"/>
  <c r="AB5" i="1"/>
  <c r="AB12" i="1"/>
  <c r="AB13" i="1"/>
  <c r="AB15" i="1"/>
  <c r="AB19" i="1"/>
  <c r="AB21" i="1"/>
  <c r="AB26" i="1"/>
  <c r="AB28" i="1"/>
  <c r="AB7" i="1"/>
  <c r="AB9" i="1"/>
  <c r="AB14" i="1"/>
  <c r="AB17" i="1"/>
  <c r="AB22" i="1"/>
  <c r="AB24" i="1"/>
  <c r="AB8" i="1"/>
  <c r="AB25" i="1"/>
  <c r="AB11" i="1"/>
  <c r="AB27" i="1"/>
  <c r="AB10" i="1"/>
  <c r="AR69" i="1"/>
  <c r="AB20" i="1"/>
  <c r="AC28" i="1"/>
  <c r="AC16" i="1"/>
  <c r="AC23" i="1"/>
  <c r="S61" i="1"/>
  <c r="AC19" i="1"/>
  <c r="AC18" i="1"/>
  <c r="AC25" i="1"/>
  <c r="AC26" i="1"/>
  <c r="BY75" i="1"/>
  <c r="AC10" i="1"/>
  <c r="AC20" i="1"/>
  <c r="G31" i="1"/>
  <c r="AC5" i="1"/>
  <c r="AS69" i="1"/>
  <c r="AX69" i="1"/>
  <c r="AC6" i="1"/>
  <c r="AC7" i="1"/>
  <c r="AC24" i="1"/>
  <c r="AC14" i="1"/>
  <c r="AP69" i="1"/>
  <c r="AC9" i="1"/>
  <c r="CC69" i="1"/>
  <c r="AC17" i="1"/>
  <c r="AC22" i="1"/>
  <c r="AC12" i="1"/>
  <c r="AC15" i="1"/>
  <c r="G37" i="1"/>
  <c r="AC8" i="1"/>
  <c r="AC21" i="1"/>
  <c r="AC4" i="1"/>
  <c r="G34" i="1"/>
  <c r="AC13" i="1"/>
  <c r="AC11" i="1"/>
  <c r="AV69" i="1"/>
  <c r="CI69" i="1" l="1"/>
  <c r="AW69" i="1"/>
  <c r="AV71" i="1"/>
  <c r="AV78" i="1"/>
  <c r="AP75" i="1"/>
  <c r="AV75" i="1" s="1"/>
  <c r="AP79" i="1"/>
  <c r="AP73" i="1"/>
  <c r="AV73" i="1" s="1"/>
  <c r="AP77" i="1"/>
  <c r="AP80" i="1"/>
  <c r="AP78" i="1"/>
  <c r="AP76" i="1"/>
  <c r="AV76" i="1" s="1"/>
  <c r="AP74" i="1"/>
  <c r="CH69" i="1"/>
  <c r="S63" i="1"/>
  <c r="AQ69" i="1"/>
  <c r="AM69" i="1"/>
  <c r="BY76" i="1"/>
  <c r="CE69" i="1"/>
  <c r="CG69" i="1"/>
  <c r="AU74" i="1" l="1"/>
  <c r="AM74" i="1"/>
  <c r="AN74" i="1" s="1"/>
  <c r="N74" i="1" s="1"/>
  <c r="AS74" i="1" s="1"/>
  <c r="AM78" i="1"/>
  <c r="AN78" i="1" s="1"/>
  <c r="N78" i="1" s="1"/>
  <c r="AU78" i="1"/>
  <c r="AU79" i="1"/>
  <c r="AM79" i="1"/>
  <c r="AN79" i="1" s="1"/>
  <c r="N79" i="1" s="1"/>
  <c r="AV79" i="1"/>
  <c r="AU77" i="1"/>
  <c r="AM77" i="1"/>
  <c r="AN77" i="1" s="1"/>
  <c r="N77" i="1" s="1"/>
  <c r="BK77" i="1" s="1"/>
  <c r="AV77" i="1"/>
  <c r="AM76" i="1"/>
  <c r="AN76" i="1" s="1"/>
  <c r="N76" i="1" s="1"/>
  <c r="AS76" i="1" s="1"/>
  <c r="AU76" i="1"/>
  <c r="AU73" i="1"/>
  <c r="AM73" i="1"/>
  <c r="AN73" i="1" s="1"/>
  <c r="N73" i="1" s="1"/>
  <c r="AW73" i="1" s="1"/>
  <c r="BK69" i="1"/>
  <c r="BK78" i="1" s="1"/>
  <c r="BL78" i="1" s="1"/>
  <c r="BM78" i="1" s="1"/>
  <c r="BY77" i="1"/>
  <c r="AM80" i="1"/>
  <c r="AN80" i="1" s="1"/>
  <c r="N80" i="1" s="1"/>
  <c r="AU80" i="1"/>
  <c r="AU75" i="1"/>
  <c r="AM75" i="1"/>
  <c r="AN75" i="1" s="1"/>
  <c r="N75" i="1" s="1"/>
  <c r="AW75" i="1" s="1"/>
  <c r="AV80" i="1"/>
  <c r="AV74" i="1"/>
  <c r="BK79" i="1" l="1"/>
  <c r="AS75" i="1"/>
  <c r="BK74" i="1"/>
  <c r="BK73" i="1"/>
  <c r="BL73" i="1" s="1"/>
  <c r="BM73" i="1" s="1"/>
  <c r="AY77" i="1"/>
  <c r="AX77" i="1"/>
  <c r="AT77" i="1"/>
  <c r="AD77" i="1"/>
  <c r="CB77" i="1"/>
  <c r="AR77" i="1"/>
  <c r="CC77" i="1" s="1"/>
  <c r="BE77" i="1"/>
  <c r="AY78" i="1"/>
  <c r="AX78" i="1"/>
  <c r="AT78" i="1"/>
  <c r="AD78" i="1"/>
  <c r="CB78" i="1"/>
  <c r="BE78" i="1"/>
  <c r="AR78" i="1"/>
  <c r="AW80" i="1"/>
  <c r="AX76" i="1"/>
  <c r="AY76" i="1"/>
  <c r="AR76" i="1"/>
  <c r="BE76" i="1"/>
  <c r="AT76" i="1"/>
  <c r="AD76" i="1"/>
  <c r="CB76" i="1"/>
  <c r="AS77" i="1"/>
  <c r="AX80" i="1"/>
  <c r="AY80" i="1"/>
  <c r="BE80" i="1"/>
  <c r="AT80" i="1"/>
  <c r="AD80" i="1"/>
  <c r="CB80" i="1"/>
  <c r="AR80" i="1"/>
  <c r="AY79" i="1"/>
  <c r="AX79" i="1"/>
  <c r="AD79" i="1"/>
  <c r="CB79" i="1"/>
  <c r="AR79" i="1"/>
  <c r="BE79" i="1"/>
  <c r="AT79" i="1"/>
  <c r="AY74" i="1"/>
  <c r="AR74" i="1"/>
  <c r="BE74" i="1"/>
  <c r="CB74" i="1"/>
  <c r="AX74" i="1"/>
  <c r="AT74" i="1"/>
  <c r="AD74" i="1"/>
  <c r="AW74" i="1"/>
  <c r="BL74" i="1"/>
  <c r="BM74" i="1" s="1"/>
  <c r="AR73" i="1"/>
  <c r="BE73" i="1"/>
  <c r="CB73" i="1"/>
  <c r="AY73" i="1"/>
  <c r="AX73" i="1"/>
  <c r="AT73" i="1"/>
  <c r="AD73" i="1"/>
  <c r="AS79" i="1"/>
  <c r="BY78" i="1"/>
  <c r="BK80" i="1"/>
  <c r="BL80" i="1" s="1"/>
  <c r="BM80" i="1" s="1"/>
  <c r="AX75" i="1"/>
  <c r="AR75" i="1"/>
  <c r="CC75" i="1" s="1"/>
  <c r="BE75" i="1"/>
  <c r="AT75" i="1"/>
  <c r="AY75" i="1"/>
  <c r="AD75" i="1"/>
  <c r="CB75" i="1"/>
  <c r="AS80" i="1"/>
  <c r="BK76" i="1"/>
  <c r="BL76" i="1" s="1"/>
  <c r="BM76" i="1" s="1"/>
  <c r="BK75" i="1"/>
  <c r="BL75" i="1" s="1"/>
  <c r="BM75" i="1" s="1"/>
  <c r="AW78" i="1"/>
  <c r="AS73" i="1"/>
  <c r="AW77" i="1"/>
  <c r="BL77" i="1"/>
  <c r="BM77" i="1" s="1"/>
  <c r="BL79" i="1"/>
  <c r="BM79" i="1" s="1"/>
  <c r="AW79" i="1"/>
  <c r="AS78" i="1"/>
  <c r="AW76" i="1"/>
  <c r="CC79" i="1" l="1"/>
  <c r="CC76" i="1"/>
  <c r="CC74" i="1"/>
  <c r="AZ74" i="1"/>
  <c r="BA74" i="1" s="1"/>
  <c r="CD74" i="1"/>
  <c r="CF74" i="1" s="1"/>
  <c r="AZ79" i="1"/>
  <c r="BA79" i="1" s="1"/>
  <c r="CD79" i="1"/>
  <c r="CF79" i="1" s="1"/>
  <c r="CC80" i="1"/>
  <c r="AZ76" i="1"/>
  <c r="BA76" i="1" s="1"/>
  <c r="CD76" i="1"/>
  <c r="CF76" i="1" s="1"/>
  <c r="AZ78" i="1"/>
  <c r="BA78" i="1" s="1"/>
  <c r="CD78" i="1"/>
  <c r="CF78" i="1" s="1"/>
  <c r="CE75" i="1"/>
  <c r="AZ80" i="1"/>
  <c r="BA80" i="1" s="1"/>
  <c r="CD80" i="1"/>
  <c r="CF80" i="1" s="1"/>
  <c r="BY79" i="1"/>
  <c r="CC73" i="1"/>
  <c r="CC78" i="1"/>
  <c r="AZ75" i="1"/>
  <c r="BA75" i="1" s="1"/>
  <c r="CD75" i="1"/>
  <c r="CF75" i="1" s="1"/>
  <c r="CD73" i="1"/>
  <c r="CF73" i="1" s="1"/>
  <c r="AZ73" i="1"/>
  <c r="BA73" i="1" s="1"/>
  <c r="CG79" i="1"/>
  <c r="CE79" i="1"/>
  <c r="CG76" i="1"/>
  <c r="CE76" i="1"/>
  <c r="CE77" i="1"/>
  <c r="AZ77" i="1"/>
  <c r="BA77" i="1" s="1"/>
  <c r="CD77" i="1"/>
  <c r="CF77" i="1" s="1"/>
  <c r="BB75" i="1" l="1"/>
  <c r="CK75" i="1" s="1"/>
  <c r="BB76" i="1"/>
  <c r="CK76" i="1" s="1"/>
  <c r="BB77" i="1"/>
  <c r="CK77" i="1" s="1"/>
  <c r="BB74" i="1"/>
  <c r="CK74" i="1" s="1"/>
  <c r="CH76" i="1"/>
  <c r="CI76" i="1" s="1"/>
  <c r="CE78" i="1"/>
  <c r="CG78" i="1"/>
  <c r="BB80" i="1"/>
  <c r="CK80" i="1" s="1"/>
  <c r="BB78" i="1"/>
  <c r="CG74" i="1"/>
  <c r="CE74" i="1"/>
  <c r="CH79" i="1"/>
  <c r="CJ79" i="1" s="1"/>
  <c r="CI79" i="1"/>
  <c r="BB73" i="1"/>
  <c r="CK73" i="1" s="1"/>
  <c r="BY80" i="1"/>
  <c r="CG80" i="1"/>
  <c r="CE80" i="1"/>
  <c r="CG77" i="1"/>
  <c r="CG73" i="1"/>
  <c r="CE73" i="1"/>
  <c r="CG75" i="1"/>
  <c r="BB79" i="1"/>
  <c r="CK79" i="1" s="1"/>
  <c r="BF75" i="1"/>
  <c r="BF73" i="1"/>
  <c r="BF76" i="1"/>
  <c r="BF79" i="1"/>
  <c r="BF78" i="1"/>
  <c r="BF77" i="1"/>
  <c r="BF74" i="1"/>
  <c r="CJ76" i="1" l="1"/>
  <c r="O78" i="1"/>
  <c r="O73" i="1"/>
  <c r="O74" i="1"/>
  <c r="O76" i="1"/>
  <c r="O79" i="1"/>
  <c r="O77" i="1"/>
  <c r="O75" i="1"/>
  <c r="CL79" i="1"/>
  <c r="CN79" i="1" s="1"/>
  <c r="CL74" i="1"/>
  <c r="CM74" i="1" s="1"/>
  <c r="CN77" i="1"/>
  <c r="CL77" i="1"/>
  <c r="CM77" i="1" s="1"/>
  <c r="CL76" i="1"/>
  <c r="CM76" i="1" s="1"/>
  <c r="CL73" i="1"/>
  <c r="CM73" i="1" s="1"/>
  <c r="CL75" i="1"/>
  <c r="CM75" i="1" s="1"/>
  <c r="CH73" i="1"/>
  <c r="CI73" i="1" s="1"/>
  <c r="CH77" i="1"/>
  <c r="CJ77" i="1" s="1"/>
  <c r="CI77" i="1"/>
  <c r="CH75" i="1"/>
  <c r="CJ75" i="1"/>
  <c r="CI75" i="1"/>
  <c r="BY81" i="1"/>
  <c r="BY82" i="1" s="1"/>
  <c r="BY83" i="1" s="1"/>
  <c r="BY84" i="1" s="1"/>
  <c r="BY85" i="1" s="1"/>
  <c r="BY86" i="1" s="1"/>
  <c r="BY87" i="1" s="1"/>
  <c r="BY142" i="1" s="1"/>
  <c r="CL80" i="1"/>
  <c r="CM80" i="1"/>
  <c r="CN80" i="1"/>
  <c r="CH80" i="1"/>
  <c r="CI80" i="1" s="1"/>
  <c r="CH74" i="1"/>
  <c r="CI74" i="1" s="1"/>
  <c r="CK78" i="1"/>
  <c r="CJ78" i="1"/>
  <c r="CH78" i="1"/>
  <c r="CI78" i="1" s="1"/>
  <c r="W75" i="1"/>
  <c r="W80" i="1"/>
  <c r="W76" i="1"/>
  <c r="W73" i="1"/>
  <c r="BF80" i="1"/>
  <c r="W77" i="1"/>
  <c r="W74" i="1"/>
  <c r="CN74" i="1" l="1"/>
  <c r="X74" i="1" s="1"/>
  <c r="Y74" i="1" s="1"/>
  <c r="BC74" i="1" s="1"/>
  <c r="BD74" i="1" s="1"/>
  <c r="CJ74" i="1"/>
  <c r="CN75" i="1"/>
  <c r="CM79" i="1"/>
  <c r="CN76" i="1"/>
  <c r="X76" i="1" s="1"/>
  <c r="Y76" i="1" s="1"/>
  <c r="BC76" i="1" s="1"/>
  <c r="BD76" i="1" s="1"/>
  <c r="CN73" i="1"/>
  <c r="CJ80" i="1"/>
  <c r="CJ73" i="1"/>
  <c r="X75" i="1"/>
  <c r="Y75" i="1" s="1"/>
  <c r="X80" i="1"/>
  <c r="O80" i="1"/>
  <c r="X77" i="1"/>
  <c r="Y77" i="1" s="1"/>
  <c r="BC77" i="1" s="1"/>
  <c r="BD77" i="1" s="1"/>
  <c r="X73" i="1"/>
  <c r="Y73" i="1" s="1"/>
  <c r="BC73" i="1" s="1"/>
  <c r="BD73" i="1" s="1"/>
  <c r="CL78" i="1"/>
  <c r="CN78" i="1" s="1"/>
  <c r="CM78" i="1"/>
  <c r="BO79" i="1"/>
  <c r="BW79" i="1"/>
  <c r="DK79" i="1"/>
  <c r="R79" i="1"/>
  <c r="BG79" i="1"/>
  <c r="DM79" i="1"/>
  <c r="DQ79" i="1"/>
  <c r="V79" i="1"/>
  <c r="CA79" i="1" s="1"/>
  <c r="BH79" i="1"/>
  <c r="BI79" i="1" s="1"/>
  <c r="BJ79" i="1" s="1"/>
  <c r="BN79" i="1"/>
  <c r="AE79" i="1"/>
  <c r="BO78" i="1"/>
  <c r="BW78" i="1"/>
  <c r="DK78" i="1"/>
  <c r="R78" i="1"/>
  <c r="BG78" i="1"/>
  <c r="DM78" i="1"/>
  <c r="DQ78" i="1"/>
  <c r="BN78" i="1"/>
  <c r="V78" i="1"/>
  <c r="CA78" i="1" s="1"/>
  <c r="BH78" i="1"/>
  <c r="BI78" i="1" s="1"/>
  <c r="BJ78" i="1" s="1"/>
  <c r="AE78" i="1"/>
  <c r="BO76" i="1"/>
  <c r="R76" i="1"/>
  <c r="BG76" i="1"/>
  <c r="DM76" i="1"/>
  <c r="DQ76" i="1"/>
  <c r="BW76" i="1"/>
  <c r="DK76" i="1"/>
  <c r="BH76" i="1"/>
  <c r="BI76" i="1" s="1"/>
  <c r="BJ76" i="1" s="1"/>
  <c r="V76" i="1"/>
  <c r="CA76" i="1" s="1"/>
  <c r="AE76" i="1"/>
  <c r="BN76" i="1"/>
  <c r="BO77" i="1"/>
  <c r="BG77" i="1"/>
  <c r="DM77" i="1"/>
  <c r="DQ77" i="1"/>
  <c r="BW77" i="1"/>
  <c r="DK77" i="1"/>
  <c r="R77" i="1"/>
  <c r="BH77" i="1"/>
  <c r="BI77" i="1" s="1"/>
  <c r="BJ77" i="1" s="1"/>
  <c r="V77" i="1"/>
  <c r="CA77" i="1" s="1"/>
  <c r="AE77" i="1"/>
  <c r="BN77" i="1"/>
  <c r="R73" i="1"/>
  <c r="BW73" i="1"/>
  <c r="DK73" i="1"/>
  <c r="BG73" i="1"/>
  <c r="BO73" i="1"/>
  <c r="DM73" i="1"/>
  <c r="DQ73" i="1"/>
  <c r="BH73" i="1"/>
  <c r="BI73" i="1" s="1"/>
  <c r="BJ73" i="1" s="1"/>
  <c r="BN73" i="1"/>
  <c r="AE73" i="1"/>
  <c r="V73" i="1"/>
  <c r="CA73" i="1" s="1"/>
  <c r="BO75" i="1"/>
  <c r="R75" i="1"/>
  <c r="BG75" i="1"/>
  <c r="DM75" i="1"/>
  <c r="DQ75" i="1"/>
  <c r="BW75" i="1"/>
  <c r="DK75" i="1"/>
  <c r="BH75" i="1"/>
  <c r="BI75" i="1" s="1"/>
  <c r="BJ75" i="1" s="1"/>
  <c r="V75" i="1"/>
  <c r="CA75" i="1" s="1"/>
  <c r="AE75" i="1"/>
  <c r="BN75" i="1"/>
  <c r="R74" i="1"/>
  <c r="BW74" i="1"/>
  <c r="DK74" i="1"/>
  <c r="BO74" i="1"/>
  <c r="DM74" i="1"/>
  <c r="DQ74" i="1"/>
  <c r="BG74" i="1"/>
  <c r="V74" i="1"/>
  <c r="CA74" i="1" s="1"/>
  <c r="BH74" i="1"/>
  <c r="BI74" i="1" s="1"/>
  <c r="BJ74" i="1" s="1"/>
  <c r="AE74" i="1"/>
  <c r="BN74" i="1"/>
  <c r="P73" i="1"/>
  <c r="P77" i="1"/>
  <c r="W78" i="1"/>
  <c r="P74" i="1"/>
  <c r="P76" i="1"/>
  <c r="W79" i="1"/>
  <c r="P78" i="1"/>
  <c r="P75" i="1"/>
  <c r="P79" i="1"/>
  <c r="X79" i="1" l="1"/>
  <c r="Y79" i="1" s="1"/>
  <c r="Y80" i="1"/>
  <c r="BC80" i="1" s="1"/>
  <c r="BD80" i="1" s="1"/>
  <c r="BC75" i="1"/>
  <c r="BD75" i="1" s="1"/>
  <c r="DJ75" i="1"/>
  <c r="S75" i="1"/>
  <c r="BP75" i="1" s="1"/>
  <c r="AC75" i="1"/>
  <c r="AB75" i="1"/>
  <c r="DJ73" i="1"/>
  <c r="AB73" i="1"/>
  <c r="S73" i="1"/>
  <c r="BP73" i="1" s="1"/>
  <c r="AC73" i="1"/>
  <c r="DJ76" i="1"/>
  <c r="AC76" i="1"/>
  <c r="AB76" i="1"/>
  <c r="S76" i="1"/>
  <c r="BP76" i="1" s="1"/>
  <c r="DJ78" i="1"/>
  <c r="AC78" i="1"/>
  <c r="AB78" i="1"/>
  <c r="S78" i="1"/>
  <c r="BP78" i="1" s="1"/>
  <c r="DJ79" i="1"/>
  <c r="AC79" i="1"/>
  <c r="AB79" i="1"/>
  <c r="S79" i="1"/>
  <c r="BP79" i="1" s="1"/>
  <c r="X78" i="1"/>
  <c r="DJ74" i="1"/>
  <c r="AB74" i="1"/>
  <c r="S74" i="1"/>
  <c r="BP74" i="1" s="1"/>
  <c r="AC74" i="1"/>
  <c r="DJ77" i="1"/>
  <c r="AC77" i="1"/>
  <c r="AB77" i="1"/>
  <c r="S77" i="1"/>
  <c r="BP77" i="1" s="1"/>
  <c r="BO80" i="1"/>
  <c r="R80" i="1"/>
  <c r="BG80" i="1"/>
  <c r="DM80" i="1"/>
  <c r="DQ80" i="1"/>
  <c r="BW80" i="1"/>
  <c r="DK80" i="1"/>
  <c r="AE80" i="1"/>
  <c r="BH80" i="1"/>
  <c r="BI80" i="1" s="1"/>
  <c r="BJ80" i="1" s="1"/>
  <c r="V80" i="1"/>
  <c r="CA80" i="1" s="1"/>
  <c r="BN80" i="1"/>
  <c r="P80" i="1"/>
  <c r="BC79" i="1" l="1"/>
  <c r="BD79" i="1" s="1"/>
  <c r="Y78" i="1"/>
  <c r="BC78" i="1" s="1"/>
  <c r="BD78" i="1" s="1"/>
  <c r="DJ80" i="1"/>
  <c r="AC80" i="1"/>
  <c r="S80" i="1"/>
  <c r="BP80" i="1" s="1"/>
  <c r="AB80" i="1"/>
  <c r="BU74" i="1"/>
  <c r="BV74" i="1"/>
  <c r="BT74" i="1"/>
  <c r="BT75" i="1"/>
  <c r="BV75" i="1"/>
  <c r="BU75" i="1"/>
  <c r="BT73" i="1"/>
  <c r="BU73" i="1"/>
  <c r="BV73" i="1"/>
  <c r="AF75" i="1"/>
  <c r="AG75" i="1" s="1"/>
  <c r="AH75" i="1" s="1"/>
  <c r="AF77" i="1"/>
  <c r="AG77" i="1" s="1"/>
  <c r="AH77" i="1" s="1"/>
  <c r="AF74" i="1"/>
  <c r="AG74" i="1" s="1"/>
  <c r="AH74" i="1" s="1"/>
  <c r="AF79" i="1"/>
  <c r="AG79" i="1" s="1"/>
  <c r="AH79" i="1" s="1"/>
  <c r="BT78" i="1"/>
  <c r="BV78" i="1"/>
  <c r="BU78" i="1"/>
  <c r="BT76" i="1"/>
  <c r="BU76" i="1"/>
  <c r="BV76" i="1"/>
  <c r="BT79" i="1"/>
  <c r="BU79" i="1"/>
  <c r="BV79" i="1"/>
  <c r="AF76" i="1"/>
  <c r="AG76" i="1" s="1"/>
  <c r="AH76" i="1" s="1"/>
  <c r="BT77" i="1"/>
  <c r="BU77" i="1"/>
  <c r="BV77" i="1"/>
  <c r="AF78" i="1"/>
  <c r="AG78" i="1" s="1"/>
  <c r="AH78" i="1" s="1"/>
  <c r="AF73" i="1"/>
  <c r="AG73" i="1" s="1"/>
  <c r="AH73" i="1" s="1"/>
  <c r="Q77" i="1"/>
  <c r="Q76" i="1"/>
  <c r="Q75" i="1"/>
  <c r="Q79" i="1"/>
  <c r="Q78" i="1"/>
  <c r="Q74" i="1"/>
  <c r="Q73" i="1"/>
  <c r="DL73" i="1" l="1"/>
  <c r="CQ73" i="1"/>
  <c r="CO73" i="1"/>
  <c r="CP73" i="1"/>
  <c r="DL78" i="1"/>
  <c r="CO78" i="1"/>
  <c r="CQ78" i="1"/>
  <c r="DE78" i="1" s="1"/>
  <c r="CP78" i="1"/>
  <c r="DL77" i="1"/>
  <c r="CQ77" i="1"/>
  <c r="CO77" i="1"/>
  <c r="CP77" i="1"/>
  <c r="DL74" i="1"/>
  <c r="CP74" i="1"/>
  <c r="CZ74" i="1" s="1"/>
  <c r="CQ74" i="1"/>
  <c r="CO74" i="1"/>
  <c r="DL76" i="1"/>
  <c r="CQ76" i="1"/>
  <c r="CO76" i="1"/>
  <c r="CU76" i="1" s="1"/>
  <c r="CP76" i="1"/>
  <c r="DL79" i="1"/>
  <c r="CO79" i="1"/>
  <c r="CQ79" i="1"/>
  <c r="DE79" i="1" s="1"/>
  <c r="CP79" i="1"/>
  <c r="DL75" i="1"/>
  <c r="CO75" i="1"/>
  <c r="CU75" i="1" s="1"/>
  <c r="CQ75" i="1"/>
  <c r="CP75" i="1"/>
  <c r="DR76" i="1"/>
  <c r="DS76" i="1"/>
  <c r="DR74" i="1"/>
  <c r="DS74" i="1"/>
  <c r="AF80" i="1"/>
  <c r="AG80" i="1" s="1"/>
  <c r="AH80" i="1" s="1"/>
  <c r="DR77" i="1"/>
  <c r="DS77" i="1"/>
  <c r="BT80" i="1"/>
  <c r="BU80" i="1"/>
  <c r="BV80" i="1"/>
  <c r="DS73" i="1"/>
  <c r="DR73" i="1"/>
  <c r="DS75" i="1"/>
  <c r="DR75" i="1"/>
  <c r="DR78" i="1"/>
  <c r="DS78" i="1"/>
  <c r="DS79" i="1"/>
  <c r="DR79" i="1"/>
  <c r="Q80" i="1"/>
  <c r="DL80" i="1" l="1"/>
  <c r="CQ80" i="1"/>
  <c r="CO80" i="1"/>
  <c r="CU80" i="1" s="1"/>
  <c r="CP80" i="1"/>
  <c r="T75" i="1"/>
  <c r="DF75" i="1"/>
  <c r="DB75" i="1"/>
  <c r="DC75" i="1"/>
  <c r="DD75" i="1" s="1"/>
  <c r="CV79" i="1"/>
  <c r="CR79" i="1"/>
  <c r="CS79" i="1"/>
  <c r="CT79" i="1" s="1"/>
  <c r="CV74" i="1"/>
  <c r="CR74" i="1"/>
  <c r="CS74" i="1"/>
  <c r="CT74" i="1" s="1"/>
  <c r="CV77" i="1"/>
  <c r="CR77" i="1"/>
  <c r="CS77" i="1"/>
  <c r="CT77" i="1" s="1"/>
  <c r="CU77" i="1"/>
  <c r="CV78" i="1"/>
  <c r="CR78" i="1"/>
  <c r="CS78" i="1"/>
  <c r="CT78" i="1" s="1"/>
  <c r="CV75" i="1"/>
  <c r="CR75" i="1"/>
  <c r="CS75" i="1"/>
  <c r="CT75" i="1" s="1"/>
  <c r="DE75" i="1"/>
  <c r="DA76" i="1"/>
  <c r="CW76" i="1"/>
  <c r="CX76" i="1"/>
  <c r="CY76" i="1" s="1"/>
  <c r="T74" i="1"/>
  <c r="DF74" i="1"/>
  <c r="DB74" i="1"/>
  <c r="DC74" i="1"/>
  <c r="DD74" i="1" s="1"/>
  <c r="CU74" i="1"/>
  <c r="T77" i="1"/>
  <c r="DF77" i="1"/>
  <c r="DB77" i="1"/>
  <c r="DC77" i="1"/>
  <c r="DD77" i="1" s="1"/>
  <c r="DE77" i="1"/>
  <c r="DA73" i="1"/>
  <c r="CW73" i="1"/>
  <c r="CX73" i="1"/>
  <c r="CZ73" i="1"/>
  <c r="DR80" i="1"/>
  <c r="AA87" i="1" s="1"/>
  <c r="DS80" i="1"/>
  <c r="AB87" i="1" s="1"/>
  <c r="DA79" i="1"/>
  <c r="CW79" i="1"/>
  <c r="CX79" i="1"/>
  <c r="CY79" i="1" s="1"/>
  <c r="CZ79" i="1"/>
  <c r="CV76" i="1"/>
  <c r="CR76" i="1"/>
  <c r="CS76" i="1"/>
  <c r="CT76" i="1" s="1"/>
  <c r="CZ76" i="1"/>
  <c r="DA74" i="1"/>
  <c r="CW74" i="1"/>
  <c r="CX74" i="1"/>
  <c r="CY74" i="1" s="1"/>
  <c r="DE74" i="1"/>
  <c r="DA78" i="1"/>
  <c r="CW78" i="1"/>
  <c r="CX78" i="1"/>
  <c r="CY78" i="1" s="1"/>
  <c r="CZ78" i="1"/>
  <c r="CV73" i="1"/>
  <c r="CR73" i="1"/>
  <c r="CS73" i="1"/>
  <c r="CU73" i="1"/>
  <c r="DA75" i="1"/>
  <c r="CW75" i="1"/>
  <c r="CX75" i="1"/>
  <c r="CY75" i="1" s="1"/>
  <c r="CZ75" i="1"/>
  <c r="T79" i="1"/>
  <c r="DF79" i="1"/>
  <c r="DB79" i="1"/>
  <c r="DC79" i="1"/>
  <c r="DD79" i="1" s="1"/>
  <c r="CU79" i="1"/>
  <c r="T76" i="1"/>
  <c r="DF76" i="1"/>
  <c r="DB76" i="1"/>
  <c r="DC76" i="1"/>
  <c r="DD76" i="1" s="1"/>
  <c r="DE76" i="1"/>
  <c r="DA77" i="1"/>
  <c r="CW77" i="1"/>
  <c r="CX77" i="1"/>
  <c r="CY77" i="1" s="1"/>
  <c r="CZ77" i="1"/>
  <c r="T78" i="1"/>
  <c r="DF78" i="1"/>
  <c r="DB78" i="1"/>
  <c r="DC78" i="1"/>
  <c r="DD78" i="1" s="1"/>
  <c r="CU78" i="1"/>
  <c r="T73" i="1"/>
  <c r="DF73" i="1"/>
  <c r="DB73" i="1"/>
  <c r="DC73" i="1"/>
  <c r="DE73" i="1"/>
  <c r="T85" i="1" l="1"/>
  <c r="CY73" i="1"/>
  <c r="CT73" i="1"/>
  <c r="DA80" i="1"/>
  <c r="U86" i="1" s="1"/>
  <c r="CW80" i="1"/>
  <c r="CX80" i="1"/>
  <c r="CY80" i="1" s="1"/>
  <c r="DD73" i="1"/>
  <c r="AC87" i="1"/>
  <c r="CV80" i="1"/>
  <c r="CR80" i="1"/>
  <c r="CS80" i="1"/>
  <c r="CT80" i="1" s="1"/>
  <c r="CZ80" i="1"/>
  <c r="T86" i="1" s="1"/>
  <c r="U85" i="1"/>
  <c r="T80" i="1"/>
  <c r="DF80" i="1"/>
  <c r="U87" i="1" s="1"/>
  <c r="DB80" i="1"/>
  <c r="DC80" i="1"/>
  <c r="DD80" i="1" s="1"/>
  <c r="DE80" i="1"/>
  <c r="DE69" i="1" s="1"/>
  <c r="R87" i="1" l="1"/>
  <c r="O87" i="1" s="1"/>
  <c r="S87" i="1"/>
  <c r="N87" i="1"/>
  <c r="S85" i="1"/>
  <c r="N85" i="1"/>
  <c r="Q85" i="1"/>
  <c r="R86" i="1"/>
  <c r="Q86" i="1"/>
  <c r="N86" i="1"/>
  <c r="T87" i="1"/>
  <c r="U72" i="1" s="1"/>
  <c r="U73" i="1" s="1"/>
  <c r="U74" i="1" s="1"/>
  <c r="U75" i="1" s="1"/>
  <c r="U76" i="1" s="1"/>
  <c r="U77" i="1" s="1"/>
  <c r="U78" i="1" s="1"/>
  <c r="U79" i="1" s="1"/>
  <c r="U80" i="1" s="1"/>
  <c r="S86" i="1"/>
  <c r="R85" i="1"/>
  <c r="P85" i="1" s="1"/>
  <c r="P87" i="1" l="1"/>
  <c r="P86" i="1"/>
  <c r="Q87" i="1"/>
  <c r="O85" i="1"/>
  <c r="O86" i="1"/>
</calcChain>
</file>

<file path=xl/sharedStrings.xml><?xml version="1.0" encoding="utf-8"?>
<sst xmlns="http://schemas.openxmlformats.org/spreadsheetml/2006/main" count="690" uniqueCount="508">
  <si>
    <t xml:space="preserve">         META/LOG CONSTANTS</t>
  </si>
  <si>
    <t xml:space="preserve">                            META/LOG KNOWLEDGE BASE</t>
  </si>
  <si>
    <t xml:space="preserve">        META/LOG "ESP" HELP FILE</t>
  </si>
  <si>
    <t>Meta/Log "ESP" Report</t>
  </si>
  <si>
    <t xml:space="preserve">          A Knowledge Based System For Formation Evaluation     </t>
  </si>
  <si>
    <t>Log Analysis Data and Results</t>
  </si>
  <si>
    <t>METRIC CONVR</t>
  </si>
  <si>
    <t>VSHMAX</t>
  </si>
  <si>
    <t>PHIMIN</t>
  </si>
  <si>
    <t>SWMAX</t>
  </si>
  <si>
    <t>PRMmin</t>
  </si>
  <si>
    <t xml:space="preserve">   MINERAL</t>
  </si>
  <si>
    <t>LITH1</t>
  </si>
  <si>
    <t xml:space="preserve">   PE</t>
  </si>
  <si>
    <t xml:space="preserve">  PHIN</t>
  </si>
  <si>
    <t xml:space="preserve">  DENS</t>
  </si>
  <si>
    <t xml:space="preserve"> MLITH</t>
  </si>
  <si>
    <t xml:space="preserve"> NLITH</t>
  </si>
  <si>
    <t xml:space="preserve">   UMA</t>
  </si>
  <si>
    <t xml:space="preserve"> Enter data into highlighted cells in HEADER, PARAMETERS, and RAW DATA.</t>
  </si>
  <si>
    <t>Used</t>
  </si>
  <si>
    <t>English</t>
  </si>
  <si>
    <t xml:space="preserve"> Metric</t>
  </si>
  <si>
    <t>frac</t>
  </si>
  <si>
    <t>md</t>
  </si>
  <si>
    <t>Main</t>
  </si>
  <si>
    <t>Quartz</t>
  </si>
  <si>
    <t>QRTZ</t>
  </si>
  <si>
    <t xml:space="preserve"> Press Calculate (F9 in Lotus) FOUR times. Check ANSWERS. Revise PARA-</t>
  </si>
  <si>
    <t/>
  </si>
  <si>
    <t>Calcite</t>
  </si>
  <si>
    <t>LIME</t>
  </si>
  <si>
    <t xml:space="preserve"> METERS as needed and re-calc FOUR times.</t>
  </si>
  <si>
    <t>E. R. Crain, P.Eng.</t>
  </si>
  <si>
    <t>Dolomite</t>
  </si>
  <si>
    <t>DOLO</t>
  </si>
  <si>
    <t>Anhydrite</t>
  </si>
  <si>
    <t>ANHY</t>
  </si>
  <si>
    <t xml:space="preserve"> This master spreadsheet has TWO data sets for two wells or two zones.</t>
  </si>
  <si>
    <t>Gypsum</t>
  </si>
  <si>
    <t>GYPS</t>
  </si>
  <si>
    <t xml:space="preserve"> Copy last data set to create space for more wells or zones.  DO NOT  </t>
  </si>
  <si>
    <t xml:space="preserve">  to</t>
  </si>
  <si>
    <t>Depthcut</t>
  </si>
  <si>
    <t>Mica</t>
  </si>
  <si>
    <t>Muscovite</t>
  </si>
  <si>
    <t>MUSC</t>
  </si>
  <si>
    <t xml:space="preserve"> leave blank lines between data sets.                                 </t>
  </si>
  <si>
    <t>Start line#</t>
  </si>
  <si>
    <t>Biotite</t>
  </si>
  <si>
    <t>BIOT</t>
  </si>
  <si>
    <t xml:space="preserve"> Erase data lines you do not need. DO NOT delete lines.</t>
  </si>
  <si>
    <t>UNITS</t>
  </si>
  <si>
    <t>M</t>
  </si>
  <si>
    <t xml:space="preserve"> (MorE)</t>
  </si>
  <si>
    <t>Clay</t>
  </si>
  <si>
    <t>Kaolinite</t>
  </si>
  <si>
    <t>KAOL</t>
  </si>
  <si>
    <t xml:space="preserve"> Insert extra lines BELOW top line and ABOVE bottom line of a data set</t>
  </si>
  <si>
    <t>Glauconite</t>
  </si>
  <si>
    <t>GLAC</t>
  </si>
  <si>
    <t xml:space="preserve"> CAUTION: You MUST copy cell BY67 down over every line to the bottom  </t>
  </si>
  <si>
    <t>DON'T MESS WITH THESE NUMBERS</t>
  </si>
  <si>
    <t>Illite</t>
  </si>
  <si>
    <t>ILL</t>
  </si>
  <si>
    <t xml:space="preserve"> of the last data set. Also be sure that all formulas are copied when </t>
  </si>
  <si>
    <t>Chlorite</t>
  </si>
  <si>
    <t>CHLR</t>
  </si>
  <si>
    <t xml:space="preserve"> you insert lines or add data sets.                                   *</t>
  </si>
  <si>
    <t xml:space="preserve">RESD </t>
  </si>
  <si>
    <t xml:space="preserve">PHIN </t>
  </si>
  <si>
    <t xml:space="preserve">DENS </t>
  </si>
  <si>
    <t xml:space="preserve">GR </t>
  </si>
  <si>
    <t xml:space="preserve">SP </t>
  </si>
  <si>
    <t xml:space="preserve">UMA </t>
  </si>
  <si>
    <t>Montmorillonite</t>
  </si>
  <si>
    <t>MONT</t>
  </si>
  <si>
    <t>ohm-m</t>
  </si>
  <si>
    <t>api</t>
  </si>
  <si>
    <t>mv</t>
  </si>
  <si>
    <t>cu</t>
  </si>
  <si>
    <t>Barite</t>
  </si>
  <si>
    <t>BARI</t>
  </si>
  <si>
    <t xml:space="preserve"> Use spreadsheet commands or write macros to print data, make cross</t>
  </si>
  <si>
    <t>NaFeld</t>
  </si>
  <si>
    <t>Albite</t>
  </si>
  <si>
    <t>ALBT</t>
  </si>
  <si>
    <t xml:space="preserve"> plots, regressions, or save files. Modify equations at your own risk.</t>
  </si>
  <si>
    <t xml:space="preserve">MATRIX </t>
  </si>
  <si>
    <t xml:space="preserve">RMAX </t>
  </si>
  <si>
    <t xml:space="preserve">PHINMA </t>
  </si>
  <si>
    <t xml:space="preserve">DENSMA </t>
  </si>
  <si>
    <t xml:space="preserve">GR0 </t>
  </si>
  <si>
    <t xml:space="preserve">SP0 </t>
  </si>
  <si>
    <t>Anorthite</t>
  </si>
  <si>
    <t>ANOR</t>
  </si>
  <si>
    <t xml:space="preserve">Zoned  </t>
  </si>
  <si>
    <t>K-Feld</t>
  </si>
  <si>
    <t>Orthoclase</t>
  </si>
  <si>
    <t>ORTH</t>
  </si>
  <si>
    <t>Iron</t>
  </si>
  <si>
    <t>Siderite</t>
  </si>
  <si>
    <t>SIDR</t>
  </si>
  <si>
    <t xml:space="preserve">SHALE </t>
  </si>
  <si>
    <t xml:space="preserve">RSH </t>
  </si>
  <si>
    <t xml:space="preserve">PHINSH </t>
  </si>
  <si>
    <t xml:space="preserve">DENSSH </t>
  </si>
  <si>
    <t xml:space="preserve">GR100 </t>
  </si>
  <si>
    <t xml:space="preserve">SP100 </t>
  </si>
  <si>
    <t xml:space="preserve">USH </t>
  </si>
  <si>
    <t>feet</t>
  </si>
  <si>
    <t>Ankerite</t>
  </si>
  <si>
    <t>ANKR</t>
  </si>
  <si>
    <t xml:space="preserve">             META/LOG GENERAL TERMS AND CONDITIONS                   </t>
  </si>
  <si>
    <t>us/ft</t>
  </si>
  <si>
    <t>Pyrite</t>
  </si>
  <si>
    <t>PYRT</t>
  </si>
  <si>
    <t>PHIDSH-&gt;</t>
  </si>
  <si>
    <t>psi</t>
  </si>
  <si>
    <t>Evaps</t>
  </si>
  <si>
    <t>Fluorite</t>
  </si>
  <si>
    <t>FLRT</t>
  </si>
  <si>
    <t xml:space="preserve"> Interpretations of logs, whether made directly from original logs </t>
  </si>
  <si>
    <t xml:space="preserve">WATER </t>
  </si>
  <si>
    <t xml:space="preserve">RW </t>
  </si>
  <si>
    <t xml:space="preserve">PHINW </t>
  </si>
  <si>
    <t xml:space="preserve">DENSW </t>
  </si>
  <si>
    <t xml:space="preserve">UW </t>
  </si>
  <si>
    <t>Mcf/d</t>
  </si>
  <si>
    <t>meters</t>
  </si>
  <si>
    <t>Halite</t>
  </si>
  <si>
    <t>SALT</t>
  </si>
  <si>
    <t xml:space="preserve"> or by electronic data processing from actual or digitized data, or </t>
  </si>
  <si>
    <t>gm/cc</t>
  </si>
  <si>
    <t>us/m</t>
  </si>
  <si>
    <t>Sylvite</t>
  </si>
  <si>
    <t>SYLV</t>
  </si>
  <si>
    <t xml:space="preserve"> from electrically transmitted data or otherwise, or any recommend- </t>
  </si>
  <si>
    <t xml:space="preserve">  Use RW calculator in cell K46, or type value</t>
  </si>
  <si>
    <t>inches</t>
  </si>
  <si>
    <t>KPa</t>
  </si>
  <si>
    <t>Carnalite</t>
  </si>
  <si>
    <t>CARN</t>
  </si>
  <si>
    <t xml:space="preserve"> ation based upon such interpretations, are opinions based on infer-</t>
  </si>
  <si>
    <t xml:space="preserve">OIL/GAS </t>
  </si>
  <si>
    <t xml:space="preserve">RMF   </t>
  </si>
  <si>
    <t xml:space="preserve">PHINHY </t>
  </si>
  <si>
    <t xml:space="preserve">DENSHY </t>
  </si>
  <si>
    <t xml:space="preserve">   UHY </t>
  </si>
  <si>
    <t>'F</t>
  </si>
  <si>
    <t>bbl/d</t>
  </si>
  <si>
    <t>m3/d</t>
  </si>
  <si>
    <t>Coal</t>
  </si>
  <si>
    <t>Anthracite</t>
  </si>
  <si>
    <t>ANTH</t>
  </si>
  <si>
    <t xml:space="preserve"> ences from physical or other measurements, empirical factors, and  </t>
  </si>
  <si>
    <t>Kg/m3</t>
  </si>
  <si>
    <t>Lignite</t>
  </si>
  <si>
    <t>LIGN</t>
  </si>
  <si>
    <t xml:space="preserve"> assumptions. Such inferences are not infallible and different    </t>
  </si>
  <si>
    <t>md-ft</t>
  </si>
  <si>
    <t>mm</t>
  </si>
  <si>
    <t xml:space="preserve"> opinions may exist. Acordingly we do not warrant the accuracy or  </t>
  </si>
  <si>
    <t xml:space="preserve">LITH1 </t>
  </si>
  <si>
    <t xml:space="preserve"> PE1 </t>
  </si>
  <si>
    <t xml:space="preserve">PHIN1 </t>
  </si>
  <si>
    <t xml:space="preserve">DENS1 </t>
  </si>
  <si>
    <t xml:space="preserve">MLITH1 </t>
  </si>
  <si>
    <t xml:space="preserve">NLITH1 </t>
  </si>
  <si>
    <t xml:space="preserve">UMA1  </t>
  </si>
  <si>
    <t>** NOTE: Use</t>
  </si>
  <si>
    <t>mcf</t>
  </si>
  <si>
    <t>'C</t>
  </si>
  <si>
    <t xml:space="preserve"> correctness of any such interpretation or recommendation. Under no </t>
  </si>
  <si>
    <t>From KNOWLEDGE</t>
  </si>
  <si>
    <t>$/mcf</t>
  </si>
  <si>
    <t>Metric</t>
  </si>
  <si>
    <t xml:space="preserve"> circumstances  should any such interpretation or recommendation be </t>
  </si>
  <si>
    <t xml:space="preserve">to get values </t>
  </si>
  <si>
    <t>bbl/psi</t>
  </si>
  <si>
    <t>md-m</t>
  </si>
  <si>
    <t xml:space="preserve"> relied upon as the sole basis for any production. completion, or   </t>
  </si>
  <si>
    <t xml:space="preserve">LITH2 </t>
  </si>
  <si>
    <t xml:space="preserve">PE2 </t>
  </si>
  <si>
    <t xml:space="preserve">PHIN2 </t>
  </si>
  <si>
    <t xml:space="preserve">DENS2 </t>
  </si>
  <si>
    <t xml:space="preserve">MLITH2 </t>
  </si>
  <si>
    <t xml:space="preserve">NLITH2 </t>
  </si>
  <si>
    <t xml:space="preserve">UMA2  </t>
  </si>
  <si>
    <t>for LITH1-&gt;3</t>
  </si>
  <si>
    <t>MMcf</t>
  </si>
  <si>
    <t>bbl</t>
  </si>
  <si>
    <t>m3</t>
  </si>
  <si>
    <t xml:space="preserve"> financial decision. We do not guarantee results. We make no warran-</t>
  </si>
  <si>
    <t xml:space="preserve"> Mcf/d</t>
  </si>
  <si>
    <t>$/bbl</t>
  </si>
  <si>
    <t>$/m3</t>
  </si>
  <si>
    <t xml:space="preserve"> ties, express or implied. Under no circumstances shall we be liable</t>
  </si>
  <si>
    <t>BASE area.</t>
  </si>
  <si>
    <t>cu.ft.</t>
  </si>
  <si>
    <t>m3/KPa</t>
  </si>
  <si>
    <t xml:space="preserve"> for consequential damages.                                         </t>
  </si>
  <si>
    <t xml:space="preserve">LITH3 </t>
  </si>
  <si>
    <t xml:space="preserve">PE3 </t>
  </si>
  <si>
    <t xml:space="preserve">PHIN3 </t>
  </si>
  <si>
    <t xml:space="preserve">DENS3 </t>
  </si>
  <si>
    <t xml:space="preserve">MLITH3 </t>
  </si>
  <si>
    <t xml:space="preserve">NLITH3 </t>
  </si>
  <si>
    <t xml:space="preserve">UMA3 </t>
  </si>
  <si>
    <t xml:space="preserve">  Gas</t>
  </si>
  <si>
    <t>1000bbl</t>
  </si>
  <si>
    <t xml:space="preserve">                                                                     *</t>
  </si>
  <si>
    <t>10^6m3</t>
  </si>
  <si>
    <t xml:space="preserve"> bbl/d</t>
  </si>
  <si>
    <t xml:space="preserve"> This software is protected by copyright, and may not be reproduced </t>
  </si>
  <si>
    <t xml:space="preserve"> or copied in any form, or used on a computer for which it was not  </t>
  </si>
  <si>
    <t>XXXX--&gt;   LOGUNITS</t>
  </si>
  <si>
    <t xml:space="preserve"> Ss=2650, Ls=2710 (2.65 or 2.71 USA Units)</t>
  </si>
  <si>
    <t xml:space="preserve">  Oil</t>
  </si>
  <si>
    <t xml:space="preserve"> acquired directly from the supplier, without payment of a fee and  </t>
  </si>
  <si>
    <t>10^3m3</t>
  </si>
  <si>
    <t xml:space="preserve"> permission obtained in writing from the supplier.                  </t>
  </si>
  <si>
    <t>SUFT</t>
  </si>
  <si>
    <t>A</t>
  </si>
  <si>
    <t>ROS in GAS</t>
  </si>
  <si>
    <t>KN</t>
  </si>
  <si>
    <t xml:space="preserve"> SPECTRUM 2000 MINDWARE LTD          C. 1984-2001        403-845-2527</t>
  </si>
  <si>
    <t xml:space="preserve">                              WATER RESISTIVITY CALCULATOR</t>
  </si>
  <si>
    <t>BHT</t>
  </si>
  <si>
    <t>CP</t>
  </si>
  <si>
    <t>KD</t>
  </si>
  <si>
    <t xml:space="preserve">                Choose ALL desired methods, fill HIGHLIGHTED cells</t>
  </si>
  <si>
    <t>SALINITY (1)</t>
  </si>
  <si>
    <t>WATER ZONE (3)</t>
  </si>
  <si>
    <t xml:space="preserve">   Inputs needed for</t>
  </si>
  <si>
    <t>SSP      (2)</t>
  </si>
  <si>
    <t>CATALOG    (4)</t>
  </si>
  <si>
    <t>BHTDEPTH</t>
  </si>
  <si>
    <t>N</t>
  </si>
  <si>
    <t>CPERM</t>
  </si>
  <si>
    <t>KS</t>
  </si>
  <si>
    <t xml:space="preserve">      method #---v</t>
  </si>
  <si>
    <t>MINIMUM    (5)</t>
  </si>
  <si>
    <t xml:space="preserve">   1,      5</t>
  </si>
  <si>
    <t>Water salinity (NaCl).............?</t>
  </si>
  <si>
    <t>Kppm</t>
  </si>
  <si>
    <t xml:space="preserve">     2,3,  5</t>
  </si>
  <si>
    <t>Water zone or SSP depth...........?</t>
  </si>
  <si>
    <t>TRW</t>
  </si>
  <si>
    <t>KBUCKL</t>
  </si>
  <si>
    <t>PHIMAX</t>
  </si>
  <si>
    <t>GAS ON/OFF</t>
  </si>
  <si>
    <t xml:space="preserve">       3,  5</t>
  </si>
  <si>
    <t>Water zone porosity...............?</t>
  </si>
  <si>
    <t>Water zone resistivity (Ro).......?</t>
  </si>
  <si>
    <t xml:space="preserve">                 0=Oil,1=Gas</t>
  </si>
  <si>
    <t xml:space="preserve">     2,    5</t>
  </si>
  <si>
    <t>Water zone SSP....................?</t>
  </si>
  <si>
    <t xml:space="preserve">      CUTOFFS</t>
  </si>
  <si>
    <t>PERMIN</t>
  </si>
  <si>
    <t>Mud filtrate resistivity (RMF@FT).?</t>
  </si>
  <si>
    <t xml:space="preserve"> TAR MASS</t>
  </si>
  <si>
    <t>Set 1</t>
  </si>
  <si>
    <t xml:space="preserve">         4,5</t>
  </si>
  <si>
    <t>Known water resistivity (RW@TRW)..?</t>
  </si>
  <si>
    <t xml:space="preserve">   CUTOFF</t>
  </si>
  <si>
    <t>Set 2</t>
  </si>
  <si>
    <t>Temperature of RW (TRW)...........?</t>
  </si>
  <si>
    <t>Set 3</t>
  </si>
  <si>
    <t xml:space="preserve">   1,2,3,4,5</t>
  </si>
  <si>
    <t>Surface temperature (SUFT)........?</t>
  </si>
  <si>
    <t>Bottom hole temperature (BHT).....?</t>
  </si>
  <si>
    <t>OPTIONS: SHALE</t>
  </si>
  <si>
    <t xml:space="preserve">           POROSITY</t>
  </si>
  <si>
    <t xml:space="preserve">        SATURATION</t>
  </si>
  <si>
    <t xml:space="preserve">     PERMEABILITY</t>
  </si>
  <si>
    <t xml:space="preserve">        LITHOLOGY</t>
  </si>
  <si>
    <t>Bottom hole depth (BHTDEP)........?</t>
  </si>
  <si>
    <t>NONE</t>
  </si>
  <si>
    <t>SONIC</t>
  </si>
  <si>
    <t>ARCHIE</t>
  </si>
  <si>
    <t>WYLLIE</t>
  </si>
  <si>
    <t>Pay zone depth....................?</t>
  </si>
  <si>
    <t>GR</t>
  </si>
  <si>
    <t>DENSITY</t>
  </si>
  <si>
    <t>SIMANDOUX</t>
  </si>
  <si>
    <t>TIMUR</t>
  </si>
  <si>
    <t>DNS/2MIN</t>
  </si>
  <si>
    <t>ANSWERS</t>
  </si>
  <si>
    <t>CLAVIER</t>
  </si>
  <si>
    <t>NEUTRON</t>
  </si>
  <si>
    <t>DUALWATER</t>
  </si>
  <si>
    <t>COATES</t>
  </si>
  <si>
    <t>UMA/2MIN</t>
  </si>
  <si>
    <t>RWsal =</t>
  </si>
  <si>
    <t>RWssp =</t>
  </si>
  <si>
    <t>RWwtr =</t>
  </si>
  <si>
    <t>RWcat =</t>
  </si>
  <si>
    <t>SP</t>
  </si>
  <si>
    <t>SH.SAND</t>
  </si>
  <si>
    <t>BUCKLES</t>
  </si>
  <si>
    <t>POROSITY</t>
  </si>
  <si>
    <t>S-D/2MIN</t>
  </si>
  <si>
    <t>XPLOT</t>
  </si>
  <si>
    <t>N-D/2MIN</t>
  </si>
  <si>
    <t>FINAL RESULT:</t>
  </si>
  <si>
    <t>RW@FT to be used</t>
  </si>
  <si>
    <t>MINIMUM</t>
  </si>
  <si>
    <t>COMPLEX LITHOLOGY</t>
  </si>
  <si>
    <t xml:space="preserve"> Slope=</t>
  </si>
  <si>
    <t>M-N/3MIN</t>
  </si>
  <si>
    <t>Calculated FT:</t>
  </si>
  <si>
    <t>PE/DENSITY/NEUTRON</t>
  </si>
  <si>
    <t xml:space="preserve"> Const=</t>
  </si>
  <si>
    <t>D-PE/3MIN</t>
  </si>
  <si>
    <t>These values are automatically placed into PARAMETERS array,</t>
  </si>
  <si>
    <t>________________________</t>
  </si>
  <si>
    <t>______________________</t>
  </si>
  <si>
    <t>______________</t>
  </si>
  <si>
    <t>unless you have overwritten the RW and TRW cells with values.</t>
  </si>
  <si>
    <t>META/LOG "TAR" RAW DATA</t>
  </si>
  <si>
    <t>META/LOG "TAR" FINAL RESULTS</t>
  </si>
  <si>
    <t xml:space="preserve">    ----------- ZRECALC2 ----------------</t>
  </si>
  <si>
    <t>SHALE</t>
  </si>
  <si>
    <t>PHIDSH</t>
  </si>
  <si>
    <t>PHINSH</t>
  </si>
  <si>
    <t>PHIDDC</t>
  </si>
  <si>
    <t>PHINDC</t>
  </si>
  <si>
    <t>BVWSH</t>
  </si>
  <si>
    <t>PHIDSH(xcm)</t>
  </si>
  <si>
    <t>SATURATION</t>
  </si>
  <si>
    <t xml:space="preserve">  RWSH</t>
  </si>
  <si>
    <t>PERMEABILITY</t>
  </si>
  <si>
    <t>LITHOLOGY</t>
  </si>
  <si>
    <t>CUTOFF SUMS</t>
  </si>
  <si>
    <t>*</t>
  </si>
  <si>
    <t>11-36-72-8W6</t>
  </si>
  <si>
    <t xml:space="preserve">    ZX</t>
  </si>
  <si>
    <t xml:space="preserve">    ZA</t>
  </si>
  <si>
    <t xml:space="preserve">    ZB</t>
  </si>
  <si>
    <t xml:space="preserve">    ZC</t>
  </si>
  <si>
    <t xml:space="preserve">    ZD</t>
  </si>
  <si>
    <t xml:space="preserve">    ZE</t>
  </si>
  <si>
    <t xml:space="preserve">    ZF</t>
  </si>
  <si>
    <t>SUM kh</t>
  </si>
  <si>
    <t xml:space="preserve"> DEPTH</t>
  </si>
  <si>
    <t xml:space="preserve">BOTTOM </t>
  </si>
  <si>
    <t xml:space="preserve">PHID </t>
  </si>
  <si>
    <t xml:space="preserve">PE </t>
  </si>
  <si>
    <t xml:space="preserve">KB_ELV  </t>
  </si>
  <si>
    <t xml:space="preserve">Incr </t>
  </si>
  <si>
    <t xml:space="preserve">Vsh  </t>
  </si>
  <si>
    <t xml:space="preserve">PHIe  </t>
  </si>
  <si>
    <t xml:space="preserve">Perm  </t>
  </si>
  <si>
    <t xml:space="preserve">Rwa  </t>
  </si>
  <si>
    <t xml:space="preserve">Phi*Sw  </t>
  </si>
  <si>
    <t xml:space="preserve">Pay  </t>
  </si>
  <si>
    <t xml:space="preserve">Cum'l  </t>
  </si>
  <si>
    <t xml:space="preserve">DENSma </t>
  </si>
  <si>
    <t xml:space="preserve">Subsea  </t>
  </si>
  <si>
    <t xml:space="preserve"> RW@FT</t>
  </si>
  <si>
    <t>TARwt</t>
  </si>
  <si>
    <t>WTRwt</t>
  </si>
  <si>
    <t>SHLwt</t>
  </si>
  <si>
    <t>MTRwt</t>
  </si>
  <si>
    <t>ROCKwt</t>
  </si>
  <si>
    <t>TARmass</t>
  </si>
  <si>
    <t>TARpay</t>
  </si>
  <si>
    <t>Tf</t>
  </si>
  <si>
    <t>Vshg</t>
  </si>
  <si>
    <t>Clav</t>
  </si>
  <si>
    <t>Vshs</t>
  </si>
  <si>
    <t>Vshx</t>
  </si>
  <si>
    <t>VSHmin</t>
  </si>
  <si>
    <t xml:space="preserve">  Dens</t>
  </si>
  <si>
    <t>PHIDm</t>
  </si>
  <si>
    <t>PHINm</t>
  </si>
  <si>
    <t>PHIsc</t>
  </si>
  <si>
    <t>PHIdc</t>
  </si>
  <si>
    <t>PHInc</t>
  </si>
  <si>
    <t>PHIxss</t>
  </si>
  <si>
    <t>PHIt</t>
  </si>
  <si>
    <t>PHIbvw</t>
  </si>
  <si>
    <t>PHIxnd</t>
  </si>
  <si>
    <t>DENSMA</t>
  </si>
  <si>
    <t>DENSma</t>
  </si>
  <si>
    <t>PHIped</t>
  </si>
  <si>
    <t>PHImax</t>
  </si>
  <si>
    <t xml:space="preserve">  PHIe</t>
  </si>
  <si>
    <t>SWa</t>
  </si>
  <si>
    <t>SWs</t>
  </si>
  <si>
    <t>SWb</t>
  </si>
  <si>
    <t>Swt</t>
  </si>
  <si>
    <t>SWd</t>
  </si>
  <si>
    <t xml:space="preserve">  SWp</t>
  </si>
  <si>
    <t>SWir</t>
  </si>
  <si>
    <t>Spare</t>
  </si>
  <si>
    <t>Permw</t>
  </si>
  <si>
    <t>Permt</t>
  </si>
  <si>
    <t xml:space="preserve"> Permc</t>
  </si>
  <si>
    <t xml:space="preserve"> Permp</t>
  </si>
  <si>
    <t xml:space="preserve"> VROCKd</t>
  </si>
  <si>
    <t xml:space="preserve"> VROCKpe</t>
  </si>
  <si>
    <t>MLITH</t>
  </si>
  <si>
    <t>NLITH</t>
  </si>
  <si>
    <t>VROCKm</t>
  </si>
  <si>
    <t>VROCKn</t>
  </si>
  <si>
    <t>VROCKmn</t>
  </si>
  <si>
    <t>VROCKdu</t>
  </si>
  <si>
    <t xml:space="preserve">    Cutoff Flags</t>
  </si>
  <si>
    <t>Vsh-h</t>
  </si>
  <si>
    <t>Phi-h</t>
  </si>
  <si>
    <t>Hyd-h</t>
  </si>
  <si>
    <t>Perm-h</t>
  </si>
  <si>
    <t>Net-h</t>
  </si>
  <si>
    <t xml:space="preserve"> SW vs CORP</t>
  </si>
  <si>
    <t>KMAX vs CORP</t>
  </si>
  <si>
    <t>Neutron vs Density</t>
  </si>
  <si>
    <t>Resistivity vs Porosity</t>
  </si>
  <si>
    <t xml:space="preserve">ohm-m </t>
  </si>
  <si>
    <t xml:space="preserve">frac </t>
  </si>
  <si>
    <t xml:space="preserve">api </t>
  </si>
  <si>
    <t xml:space="preserve">mv </t>
  </si>
  <si>
    <t xml:space="preserve">cu </t>
  </si>
  <si>
    <t xml:space="preserve">frac  </t>
  </si>
  <si>
    <t xml:space="preserve">md  </t>
  </si>
  <si>
    <t xml:space="preserve">ohm-m  </t>
  </si>
  <si>
    <t xml:space="preserve">Flag  </t>
  </si>
  <si>
    <t xml:space="preserve">KH   </t>
  </si>
  <si>
    <t xml:space="preserve">  ---------------- Lithology Adjusted ---------------</t>
  </si>
  <si>
    <t xml:space="preserve"> - LS Units -</t>
  </si>
  <si>
    <t>no gas</t>
  </si>
  <si>
    <t>for gas</t>
  </si>
  <si>
    <t>final</t>
  </si>
  <si>
    <t>for ped</t>
  </si>
  <si>
    <t>Selected</t>
  </si>
  <si>
    <t xml:space="preserve">   "C"</t>
  </si>
  <si>
    <t xml:space="preserve">   "D"</t>
  </si>
  <si>
    <t>Ro</t>
  </si>
  <si>
    <t xml:space="preserve"> </t>
  </si>
  <si>
    <t>V1</t>
  </si>
  <si>
    <t>Term1</t>
  </si>
  <si>
    <t>Term2</t>
  </si>
  <si>
    <t>V2</t>
  </si>
  <si>
    <t xml:space="preserve">  Set 1</t>
  </si>
  <si>
    <t xml:space="preserve">  Set 2</t>
  </si>
  <si>
    <t xml:space="preserve">  Set 3</t>
  </si>
  <si>
    <t>Tar-h</t>
  </si>
  <si>
    <t xml:space="preserve">  One Log  Shaly Sand</t>
  </si>
  <si>
    <t xml:space="preserve">  Dual Water</t>
  </si>
  <si>
    <t xml:space="preserve">      Complex Lithology</t>
  </si>
  <si>
    <t xml:space="preserve"> PE-Dens-Neut</t>
  </si>
  <si>
    <t xml:space="preserve"> Archie</t>
  </si>
  <si>
    <t xml:space="preserve">      Simandoux</t>
  </si>
  <si>
    <t xml:space="preserve">   ---   Dual Water   ---</t>
  </si>
  <si>
    <t>Buckles</t>
  </si>
  <si>
    <t>Water Saturation - fractional</t>
  </si>
  <si>
    <t>Porosity - fractional</t>
  </si>
  <si>
    <t>Permeability - millidarcies</t>
  </si>
  <si>
    <t>Neutron Porosity - fractional</t>
  </si>
  <si>
    <t>Density Porosity - fractional</t>
  </si>
  <si>
    <t>Deep Resistivity -ohm-m</t>
  </si>
  <si>
    <t>Effective Porosity - fractional</t>
  </si>
  <si>
    <t>SUM TAR MASS</t>
  </si>
  <si>
    <t>META/LOG "ESP" SUMMARY DATA</t>
  </si>
  <si>
    <t xml:space="preserve"> COMMENTS:</t>
  </si>
  <si>
    <t xml:space="preserve">    ------ Averages ------</t>
  </si>
  <si>
    <t xml:space="preserve">   ------ Volumes ------</t>
  </si>
  <si>
    <t xml:space="preserve">   ------ Cutoffs ------</t>
  </si>
  <si>
    <t xml:space="preserve">PHIe </t>
  </si>
  <si>
    <t xml:space="preserve">Phi-H  </t>
  </si>
  <si>
    <t xml:space="preserve">K-H  </t>
  </si>
  <si>
    <t xml:space="preserve">Net  </t>
  </si>
  <si>
    <t xml:space="preserve">Sw  </t>
  </si>
  <si>
    <t xml:space="preserve">                        Tar In Place</t>
  </si>
  <si>
    <t xml:space="preserve">Sum Tar    </t>
  </si>
  <si>
    <t xml:space="preserve">Net Tar  </t>
  </si>
  <si>
    <t xml:space="preserve">Avg Tar  </t>
  </si>
  <si>
    <t xml:space="preserve">tonnes/m2  </t>
  </si>
  <si>
    <t xml:space="preserve">meters  </t>
  </si>
  <si>
    <t xml:space="preserve">fraction </t>
  </si>
  <si>
    <t xml:space="preserve">Tar Cutoff = </t>
  </si>
  <si>
    <t>Click on graph to edit scales, titles, or data ranges</t>
  </si>
  <si>
    <t>&lt;---SERIAL NUMBER MUST MATCH ROW NUMBER FROM TOP TO BOTTOM OF ACTIVE ANALYSIS AREA</t>
  </si>
  <si>
    <t>Results Include Tar Plus conventional Oil If Both Co-exist</t>
  </si>
  <si>
    <t xml:space="preserve"> Includes Conv Oil Plus Tar</t>
  </si>
  <si>
    <t xml:space="preserve">  DTC</t>
  </si>
  <si>
    <t xml:space="preserve">DTC </t>
  </si>
  <si>
    <t xml:space="preserve">DTCMA </t>
  </si>
  <si>
    <t xml:space="preserve">DTCSH </t>
  </si>
  <si>
    <t xml:space="preserve">DTCW </t>
  </si>
  <si>
    <t xml:space="preserve">DTCHY </t>
  </si>
  <si>
    <t xml:space="preserve">DTC1 </t>
  </si>
  <si>
    <t xml:space="preserve">DTC2 </t>
  </si>
  <si>
    <t xml:space="preserve">DTC3 </t>
  </si>
  <si>
    <t xml:space="preserve">     ANALYSIS PARAMETERS</t>
  </si>
  <si>
    <t>c. E.R.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</si>
  <si>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</si>
  <si>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</si>
  <si>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</si>
  <si>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</si>
  <si>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</si>
  <si>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</si>
  <si>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</si>
  <si>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</si>
  <si>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 xml:space="preserve">                 TAR SAND ANALYSIS + SUMS AND AVERAGES</t>
  </si>
  <si>
    <t xml:space="preserve">                    META/LOG "TAR"</t>
  </si>
  <si>
    <t>MORE===&gt;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</si>
</sst>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7">
    <font>
      <sz val="10"/>
      <name val="COUR"/>
    </font>
    <font>
      <b/>
      <sz val="10"/>
      <color indexed="8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b/>
      <sz val="24"/>
      <color indexed="10"/>
      <name val="Times New Roman"/>
    </font>
    <font>
      <b/>
      <sz val="24"/>
      <color indexed="8"/>
      <name val="Times New Roman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COUR"/>
    </font>
    <font>
      <sz val="10"/>
      <name val="COUR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name val="COUR"/>
    </font>
    <font>
      <sz val="8"/>
      <name val="COU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  <font>
      <u/>
      <sz val="10"/>
      <color theme="10"/>
      <name val="Arial"/>
      <family val="2"/>
    </font>
    <font>
      <b/>
      <sz val="24"/>
      <color indexed="13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lightTrellis">
        <fgColor indexed="12"/>
        <bgColor indexed="9"/>
      </patternFill>
    </fill>
    <fill>
      <patternFill patternType="gray0625">
        <fgColor indexed="10"/>
        <bgColor indexed="9"/>
      </patternFill>
    </fill>
    <fill>
      <patternFill patternType="gray125">
        <fgColor indexed="12"/>
        <bgColor indexed="13"/>
      </patternFill>
    </fill>
    <fill>
      <patternFill patternType="solid">
        <fgColor indexed="10"/>
        <bgColor indexed="64"/>
      </patternFill>
    </fill>
    <fill>
      <patternFill patternType="lightGray">
        <bgColor indexed="15"/>
      </patternFill>
    </fill>
  </fills>
  <borders count="27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8"/>
      </left>
      <right/>
      <top style="thick">
        <color indexed="10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auto="1"/>
      </bottom>
      <diagonal/>
    </border>
    <border>
      <left/>
      <right/>
      <top style="thick">
        <color indexed="8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indexed="8"/>
      </top>
      <bottom style="thick">
        <color auto="1"/>
      </bottom>
      <diagonal/>
    </border>
    <border diagonalUp="1">
      <left style="thick">
        <color auto="1"/>
      </left>
      <right/>
      <top style="thick">
        <color indexed="8"/>
      </top>
      <bottom/>
      <diagonal style="thick">
        <color indexed="8"/>
      </diagonal>
    </border>
    <border diagonalUp="1">
      <left style="thick">
        <color auto="1"/>
      </left>
      <right/>
      <top/>
      <bottom/>
      <diagonal style="thick">
        <color indexed="8"/>
      </diagonal>
    </border>
    <border>
      <left style="thick">
        <color auto="1"/>
      </left>
      <right/>
      <top style="medium">
        <color indexed="8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 style="thick">
        <color auto="1"/>
      </left>
      <right/>
      <top/>
      <bottom style="thick">
        <color indexed="8"/>
      </bottom>
      <diagonal/>
    </border>
    <border>
      <left style="thick">
        <color auto="1"/>
      </left>
      <right/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2" fontId="0" fillId="0" borderId="0"/>
    <xf numFmtId="0" fontId="25" fillId="0" borderId="0" applyNumberFormat="0" applyFill="0" applyBorder="0" applyAlignment="0" applyProtection="0"/>
  </cellStyleXfs>
  <cellXfs count="141">
    <xf numFmtId="2" fontId="18" fillId="0" borderId="0" xfId="0" applyFont="1" applyAlignment="1"/>
    <xf numFmtId="2" fontId="2" fillId="3" borderId="1" xfId="0" applyFont="1" applyFill="1" applyBorder="1" applyAlignment="1"/>
    <xf numFmtId="2" fontId="3" fillId="4" borderId="3" xfId="0" applyFont="1" applyFill="1" applyBorder="1" applyAlignment="1">
      <alignment horizontal="right"/>
    </xf>
    <xf numFmtId="2" fontId="4" fillId="4" borderId="3" xfId="0" applyFont="1" applyFill="1" applyBorder="1" applyAlignment="1"/>
    <xf numFmtId="2" fontId="4" fillId="4" borderId="0" xfId="0" applyFont="1" applyFill="1" applyAlignment="1"/>
    <xf numFmtId="2" fontId="5" fillId="5" borderId="3" xfId="0" applyFont="1" applyFill="1" applyBorder="1" applyAlignment="1">
      <alignment horizontal="right"/>
    </xf>
    <xf numFmtId="2" fontId="6" fillId="6" borderId="3" xfId="0" applyFont="1" applyFill="1" applyBorder="1" applyAlignment="1"/>
    <xf numFmtId="2" fontId="6" fillId="6" borderId="0" xfId="0" applyFont="1" applyFill="1" applyAlignment="1"/>
    <xf numFmtId="2" fontId="6" fillId="6" borderId="0" xfId="0" applyNumberFormat="1" applyFont="1" applyFill="1" applyAlignment="1"/>
    <xf numFmtId="2" fontId="7" fillId="6" borderId="3" xfId="0" applyFont="1" applyFill="1" applyBorder="1" applyAlignment="1"/>
    <xf numFmtId="2" fontId="7" fillId="6" borderId="0" xfId="0" applyFont="1" applyFill="1" applyAlignment="1"/>
    <xf numFmtId="2" fontId="8" fillId="5" borderId="1" xfId="0" applyFont="1" applyFill="1" applyBorder="1" applyAlignment="1"/>
    <xf numFmtId="2" fontId="8" fillId="5" borderId="3" xfId="0" applyFont="1" applyFill="1" applyBorder="1" applyAlignment="1"/>
    <xf numFmtId="2" fontId="8" fillId="5" borderId="2" xfId="0" applyFont="1" applyFill="1" applyBorder="1" applyAlignment="1"/>
    <xf numFmtId="2" fontId="8" fillId="5" borderId="0" xfId="0" applyFont="1" applyFill="1" applyAlignment="1"/>
    <xf numFmtId="2" fontId="9" fillId="5" borderId="0" xfId="0" applyFont="1" applyFill="1" applyAlignment="1"/>
    <xf numFmtId="2" fontId="9" fillId="5" borderId="3" xfId="0" applyFont="1" applyFill="1" applyBorder="1" applyAlignment="1"/>
    <xf numFmtId="2" fontId="10" fillId="0" borderId="0" xfId="0" applyFont="1" applyAlignment="1"/>
    <xf numFmtId="2" fontId="12" fillId="4" borderId="3" xfId="0" applyFont="1" applyFill="1" applyBorder="1" applyAlignment="1"/>
    <xf numFmtId="2" fontId="12" fillId="4" borderId="0" xfId="0" applyFont="1" applyFill="1" applyAlignment="1"/>
    <xf numFmtId="2" fontId="13" fillId="4" borderId="0" xfId="0" applyFont="1" applyFill="1" applyAlignment="1">
      <alignment horizontal="right"/>
    </xf>
    <xf numFmtId="2" fontId="14" fillId="4" borderId="0" xfId="0" applyFont="1" applyFill="1" applyAlignment="1"/>
    <xf numFmtId="2" fontId="15" fillId="5" borderId="3" xfId="0" applyFont="1" applyFill="1" applyBorder="1" applyAlignment="1">
      <alignment horizontal="right"/>
    </xf>
    <xf numFmtId="2" fontId="16" fillId="2" borderId="2" xfId="0" applyFont="1" applyFill="1" applyBorder="1" applyAlignment="1"/>
    <xf numFmtId="2" fontId="17" fillId="6" borderId="2" xfId="0" applyFont="1" applyFill="1" applyBorder="1" applyAlignment="1"/>
    <xf numFmtId="2" fontId="20" fillId="5" borderId="2" xfId="0" applyFont="1" applyFill="1" applyBorder="1" applyAlignment="1"/>
    <xf numFmtId="2" fontId="20" fillId="5" borderId="1" xfId="0" applyFont="1" applyFill="1" applyBorder="1" applyAlignment="1"/>
    <xf numFmtId="2" fontId="20" fillId="2" borderId="1" xfId="0" applyFont="1" applyFill="1" applyBorder="1" applyAlignment="1"/>
    <xf numFmtId="2" fontId="20" fillId="5" borderId="3" xfId="0" applyFont="1" applyFill="1" applyBorder="1" applyAlignment="1">
      <alignment horizontal="right"/>
    </xf>
    <xf numFmtId="2" fontId="20" fillId="2" borderId="2" xfId="0" applyFont="1" applyFill="1" applyBorder="1" applyAlignment="1"/>
    <xf numFmtId="2" fontId="20" fillId="6" borderId="2" xfId="0" applyFont="1" applyFill="1" applyBorder="1" applyAlignment="1"/>
    <xf numFmtId="2" fontId="20" fillId="5" borderId="3" xfId="0" applyFont="1" applyFill="1" applyBorder="1" applyAlignment="1"/>
    <xf numFmtId="2" fontId="20" fillId="5" borderId="0" xfId="0" applyFont="1" applyFill="1" applyAlignment="1"/>
    <xf numFmtId="2" fontId="20" fillId="6" borderId="3" xfId="0" applyFont="1" applyFill="1" applyBorder="1" applyAlignment="1"/>
    <xf numFmtId="2" fontId="20" fillId="6" borderId="0" xfId="0" applyFont="1" applyFill="1" applyAlignment="1"/>
    <xf numFmtId="2" fontId="21" fillId="0" borderId="0" xfId="0" applyFont="1" applyAlignment="1"/>
    <xf numFmtId="2" fontId="20" fillId="6" borderId="1" xfId="0" applyFont="1" applyFill="1" applyBorder="1" applyAlignment="1"/>
    <xf numFmtId="2" fontId="21" fillId="0" borderId="1" xfId="0" applyFont="1" applyBorder="1" applyAlignment="1"/>
    <xf numFmtId="2" fontId="20" fillId="2" borderId="3" xfId="0" applyFont="1" applyFill="1" applyBorder="1" applyAlignment="1">
      <alignment horizontal="right"/>
    </xf>
    <xf numFmtId="2" fontId="20" fillId="2" borderId="0" xfId="0" applyFont="1" applyFill="1" applyAlignment="1"/>
    <xf numFmtId="2" fontId="20" fillId="7" borderId="2" xfId="0" applyFont="1" applyFill="1" applyBorder="1" applyAlignment="1"/>
    <xf numFmtId="2" fontId="20" fillId="8" borderId="4" xfId="0" applyFont="1" applyFill="1" applyBorder="1" applyAlignment="1"/>
    <xf numFmtId="2" fontId="20" fillId="8" borderId="5" xfId="0" applyFont="1" applyFill="1" applyBorder="1" applyAlignment="1"/>
    <xf numFmtId="2" fontId="20" fillId="6" borderId="6" xfId="0" applyFont="1" applyFill="1" applyBorder="1" applyAlignment="1"/>
    <xf numFmtId="2" fontId="20" fillId="8" borderId="6" xfId="0" applyFont="1" applyFill="1" applyBorder="1" applyAlignment="1"/>
    <xf numFmtId="2" fontId="20" fillId="8" borderId="0" xfId="0" applyFont="1" applyFill="1" applyAlignment="1"/>
    <xf numFmtId="2" fontId="20" fillId="5" borderId="0" xfId="0" applyFont="1" applyFill="1" applyAlignment="1">
      <alignment horizontal="right"/>
    </xf>
    <xf numFmtId="2" fontId="20" fillId="5" borderId="7" xfId="0" applyFont="1" applyFill="1" applyBorder="1" applyAlignment="1"/>
    <xf numFmtId="2" fontId="20" fillId="5" borderId="5" xfId="0" applyFont="1" applyFill="1" applyBorder="1" applyAlignment="1"/>
    <xf numFmtId="2" fontId="22" fillId="4" borderId="2" xfId="0" applyFont="1" applyFill="1" applyBorder="1" applyAlignment="1"/>
    <xf numFmtId="2" fontId="22" fillId="4" borderId="1" xfId="0" applyFont="1" applyFill="1" applyBorder="1" applyAlignment="1"/>
    <xf numFmtId="2" fontId="22" fillId="4" borderId="3" xfId="0" applyFont="1" applyFill="1" applyBorder="1" applyAlignment="1"/>
    <xf numFmtId="2" fontId="22" fillId="4" borderId="0" xfId="0" applyFont="1" applyFill="1" applyAlignment="1"/>
    <xf numFmtId="2" fontId="20" fillId="5" borderId="1" xfId="0" applyFont="1" applyFill="1" applyBorder="1" applyAlignment="1">
      <alignment horizontal="right"/>
    </xf>
    <xf numFmtId="2" fontId="20" fillId="2" borderId="0" xfId="0" applyFont="1" applyFill="1" applyAlignment="1">
      <alignment horizontal="right"/>
    </xf>
    <xf numFmtId="2" fontId="20" fillId="9" borderId="2" xfId="0" applyFont="1" applyFill="1" applyBorder="1" applyAlignment="1"/>
    <xf numFmtId="2" fontId="20" fillId="9" borderId="1" xfId="0" applyFont="1" applyFill="1" applyBorder="1" applyAlignment="1"/>
    <xf numFmtId="2" fontId="20" fillId="9" borderId="3" xfId="0" applyFont="1" applyFill="1" applyBorder="1" applyAlignment="1"/>
    <xf numFmtId="2" fontId="20" fillId="9" borderId="0" xfId="0" applyFont="1" applyFill="1" applyAlignment="1"/>
    <xf numFmtId="2" fontId="20" fillId="2" borderId="3" xfId="0" applyFont="1" applyFill="1" applyBorder="1" applyAlignment="1"/>
    <xf numFmtId="2" fontId="20" fillId="5" borderId="1" xfId="0" applyFont="1" applyFill="1" applyBorder="1" applyAlignment="1" applyProtection="1">
      <protection hidden="1"/>
    </xf>
    <xf numFmtId="2" fontId="20" fillId="4" borderId="2" xfId="0" applyFont="1" applyFill="1" applyBorder="1" applyAlignment="1"/>
    <xf numFmtId="2" fontId="20" fillId="4" borderId="1" xfId="0" applyFont="1" applyFill="1" applyBorder="1" applyAlignment="1"/>
    <xf numFmtId="2" fontId="20" fillId="4" borderId="3" xfId="0" applyFont="1" applyFill="1" applyBorder="1" applyAlignment="1"/>
    <xf numFmtId="2" fontId="20" fillId="4" borderId="0" xfId="0" applyFont="1" applyFill="1" applyAlignment="1"/>
    <xf numFmtId="165" fontId="20" fillId="6" borderId="2" xfId="0" applyNumberFormat="1" applyFont="1" applyFill="1" applyBorder="1" applyAlignment="1" applyProtection="1">
      <protection locked="0"/>
    </xf>
    <xf numFmtId="2" fontId="20" fillId="2" borderId="1" xfId="0" applyFont="1" applyFill="1" applyBorder="1" applyAlignment="1">
      <alignment horizontal="right"/>
    </xf>
    <xf numFmtId="2" fontId="21" fillId="0" borderId="3" xfId="0" applyFont="1" applyBorder="1"/>
    <xf numFmtId="2" fontId="20" fillId="11" borderId="1" xfId="0" applyFont="1" applyFill="1" applyBorder="1" applyAlignment="1"/>
    <xf numFmtId="165" fontId="20" fillId="11" borderId="1" xfId="0" applyNumberFormat="1" applyFont="1" applyFill="1" applyBorder="1" applyAlignment="1"/>
    <xf numFmtId="1" fontId="20" fillId="5" borderId="1" xfId="0" applyNumberFormat="1" applyFont="1" applyFill="1" applyBorder="1" applyAlignment="1" applyProtection="1">
      <protection hidden="1"/>
    </xf>
    <xf numFmtId="165" fontId="20" fillId="6" borderId="1" xfId="0" applyNumberFormat="1" applyFont="1" applyFill="1" applyBorder="1" applyAlignment="1"/>
    <xf numFmtId="164" fontId="20" fillId="6" borderId="1" xfId="0" applyNumberFormat="1" applyFont="1" applyFill="1" applyBorder="1" applyAlignment="1"/>
    <xf numFmtId="164" fontId="20" fillId="6" borderId="0" xfId="0" applyNumberFormat="1" applyFont="1" applyFill="1" applyAlignment="1"/>
    <xf numFmtId="1" fontId="20" fillId="6" borderId="0" xfId="0" applyNumberFormat="1" applyFont="1" applyFill="1" applyAlignment="1"/>
    <xf numFmtId="165" fontId="20" fillId="5" borderId="0" xfId="0" applyNumberFormat="1" applyFont="1" applyFill="1" applyAlignment="1"/>
    <xf numFmtId="165" fontId="20" fillId="6" borderId="0" xfId="0" applyNumberFormat="1" applyFont="1" applyFill="1" applyAlignment="1"/>
    <xf numFmtId="2" fontId="23" fillId="11" borderId="2" xfId="0" applyFont="1" applyFill="1" applyBorder="1" applyAlignment="1"/>
    <xf numFmtId="2" fontId="23" fillId="11" borderId="1" xfId="0" applyFont="1" applyFill="1" applyBorder="1" applyAlignment="1"/>
    <xf numFmtId="164" fontId="20" fillId="11" borderId="1" xfId="0" applyNumberFormat="1" applyFont="1" applyFill="1" applyBorder="1" applyAlignment="1"/>
    <xf numFmtId="2" fontId="21" fillId="0" borderId="1" xfId="0" applyFont="1" applyBorder="1"/>
    <xf numFmtId="2" fontId="23" fillId="11" borderId="3" xfId="0" applyFont="1" applyFill="1" applyBorder="1" applyAlignment="1"/>
    <xf numFmtId="2" fontId="23" fillId="11" borderId="0" xfId="0" applyFont="1" applyFill="1" applyAlignment="1"/>
    <xf numFmtId="164" fontId="20" fillId="2" borderId="1" xfId="0" applyNumberFormat="1" applyFont="1" applyFill="1" applyBorder="1" applyAlignment="1"/>
    <xf numFmtId="164" fontId="20" fillId="2" borderId="0" xfId="0" applyNumberFormat="1" applyFont="1" applyFill="1" applyAlignment="1">
      <alignment horizontal="right"/>
    </xf>
    <xf numFmtId="2" fontId="20" fillId="2" borderId="3" xfId="0" applyFont="1" applyFill="1" applyBorder="1" applyAlignment="1">
      <alignment horizontal="left"/>
    </xf>
    <xf numFmtId="1" fontId="20" fillId="6" borderId="1" xfId="0" applyNumberFormat="1" applyFont="1" applyFill="1" applyBorder="1" applyAlignment="1"/>
    <xf numFmtId="164" fontId="20" fillId="6" borderId="0" xfId="0" applyNumberFormat="1" applyFont="1" applyFill="1" applyAlignment="1">
      <alignment horizontal="left"/>
    </xf>
    <xf numFmtId="164" fontId="20" fillId="6" borderId="3" xfId="0" applyNumberFormat="1" applyFont="1" applyFill="1" applyBorder="1" applyAlignment="1"/>
    <xf numFmtId="2" fontId="20" fillId="5" borderId="0" xfId="0" applyFont="1" applyFill="1" applyAlignment="1">
      <alignment horizontal="fill"/>
    </xf>
    <xf numFmtId="165" fontId="20" fillId="6" borderId="0" xfId="0" applyNumberFormat="1" applyFont="1" applyFill="1" applyBorder="1" applyAlignment="1"/>
    <xf numFmtId="164" fontId="20" fillId="6" borderId="0" xfId="0" applyNumberFormat="1" applyFont="1" applyFill="1" applyBorder="1" applyAlignment="1"/>
    <xf numFmtId="2" fontId="20" fillId="6" borderId="0" xfId="0" applyFont="1" applyFill="1" applyBorder="1" applyAlignment="1"/>
    <xf numFmtId="2" fontId="1" fillId="6" borderId="0" xfId="0" applyNumberFormat="1" applyFont="1" applyFill="1" applyAlignment="1"/>
    <xf numFmtId="2" fontId="1" fillId="5" borderId="0" xfId="0" applyNumberFormat="1" applyFont="1" applyFill="1" applyAlignment="1"/>
    <xf numFmtId="2" fontId="11" fillId="3" borderId="0" xfId="0" applyNumberFormat="1" applyFont="1" applyFill="1" applyAlignment="1"/>
    <xf numFmtId="2" fontId="3" fillId="4" borderId="8" xfId="0" applyNumberFormat="1" applyFont="1" applyFill="1" applyBorder="1" applyAlignment="1">
      <alignment horizontal="right"/>
    </xf>
    <xf numFmtId="2" fontId="24" fillId="3" borderId="0" xfId="0" applyNumberFormat="1" applyFont="1" applyFill="1" applyAlignment="1"/>
    <xf numFmtId="2" fontId="20" fillId="4" borderId="8" xfId="0" applyNumberFormat="1" applyFont="1" applyFill="1" applyBorder="1" applyAlignment="1">
      <alignment horizontal="right"/>
    </xf>
    <xf numFmtId="2" fontId="10" fillId="0" borderId="0" xfId="0" applyNumberFormat="1" applyFont="1" applyAlignment="1"/>
    <xf numFmtId="2" fontId="3" fillId="2" borderId="9" xfId="0" applyNumberFormat="1" applyFont="1" applyFill="1" applyBorder="1" applyAlignment="1"/>
    <xf numFmtId="2" fontId="1" fillId="5" borderId="9" xfId="0" applyNumberFormat="1" applyFont="1" applyFill="1" applyBorder="1" applyAlignment="1"/>
    <xf numFmtId="2" fontId="20" fillId="2" borderId="8" xfId="0" applyNumberFormat="1" applyFont="1" applyFill="1" applyBorder="1" applyAlignment="1">
      <alignment horizontal="right"/>
    </xf>
    <xf numFmtId="0" fontId="20" fillId="0" borderId="0" xfId="0" applyNumberFormat="1" applyFont="1" applyAlignment="1"/>
    <xf numFmtId="0" fontId="20" fillId="0" borderId="2" xfId="0" applyNumberFormat="1" applyFont="1" applyBorder="1" applyAlignment="1"/>
    <xf numFmtId="0" fontId="20" fillId="0" borderId="1" xfId="0" applyNumberFormat="1" applyFont="1" applyBorder="1" applyAlignment="1"/>
    <xf numFmtId="0" fontId="20" fillId="0" borderId="12" xfId="0" applyNumberFormat="1" applyFont="1" applyBorder="1" applyAlignment="1"/>
    <xf numFmtId="0" fontId="20" fillId="0" borderId="13" xfId="0" applyNumberFormat="1" applyFont="1" applyBorder="1" applyAlignment="1"/>
    <xf numFmtId="0" fontId="20" fillId="0" borderId="0" xfId="0" applyNumberFormat="1" applyFont="1" applyAlignment="1">
      <alignment horizontal="right"/>
    </xf>
    <xf numFmtId="0" fontId="20" fillId="0" borderId="14" xfId="0" applyNumberFormat="1" applyFont="1" applyBorder="1" applyAlignment="1"/>
    <xf numFmtId="0" fontId="20" fillId="0" borderId="15" xfId="0" applyNumberFormat="1" applyFont="1" applyBorder="1" applyAlignment="1"/>
    <xf numFmtId="0" fontId="20" fillId="0" borderId="16" xfId="0" applyNumberFormat="1" applyFont="1" applyBorder="1" applyAlignment="1"/>
    <xf numFmtId="0" fontId="20" fillId="0" borderId="0" xfId="0" applyNumberFormat="1" applyFont="1" applyBorder="1" applyAlignment="1"/>
    <xf numFmtId="15" fontId="20" fillId="0" borderId="14" xfId="0" applyNumberFormat="1" applyFont="1" applyBorder="1" applyAlignment="1"/>
    <xf numFmtId="0" fontId="20" fillId="0" borderId="17" xfId="0" applyNumberFormat="1" applyFont="1" applyBorder="1" applyAlignment="1"/>
    <xf numFmtId="2" fontId="1" fillId="5" borderId="0" xfId="0" applyNumberFormat="1" applyFont="1" applyFill="1" applyBorder="1" applyAlignment="1">
      <alignment horizontal="right"/>
    </xf>
    <xf numFmtId="2" fontId="1" fillId="5" borderId="0" xfId="0" applyNumberFormat="1" applyFont="1" applyFill="1" applyBorder="1" applyAlignment="1"/>
    <xf numFmtId="2" fontId="26" fillId="3" borderId="18" xfId="0" applyFont="1" applyFill="1" applyBorder="1" applyAlignment="1"/>
    <xf numFmtId="2" fontId="11" fillId="3" borderId="19" xfId="0" applyNumberFormat="1" applyFont="1" applyFill="1" applyBorder="1" applyAlignment="1"/>
    <xf numFmtId="2" fontId="10" fillId="0" borderId="19" xfId="0" applyNumberFormat="1" applyFont="1" applyBorder="1" applyAlignment="1"/>
    <xf numFmtId="2" fontId="1" fillId="5" borderId="20" xfId="0" applyNumberFormat="1" applyFont="1" applyFill="1" applyBorder="1" applyAlignment="1"/>
    <xf numFmtId="2" fontId="1" fillId="5" borderId="13" xfId="0" applyNumberFormat="1" applyFont="1" applyFill="1" applyBorder="1" applyAlignment="1"/>
    <xf numFmtId="2" fontId="20" fillId="5" borderId="13" xfId="0" applyFont="1" applyFill="1" applyBorder="1" applyAlignment="1"/>
    <xf numFmtId="2" fontId="20" fillId="2" borderId="21" xfId="0" applyFont="1" applyFill="1" applyBorder="1" applyAlignment="1"/>
    <xf numFmtId="2" fontId="20" fillId="6" borderId="21" xfId="0" applyFont="1" applyFill="1" applyBorder="1" applyAlignment="1"/>
    <xf numFmtId="2" fontId="20" fillId="5" borderId="21" xfId="0" applyFont="1" applyFill="1" applyBorder="1" applyAlignment="1"/>
    <xf numFmtId="2" fontId="20" fillId="5" borderId="13" xfId="0" applyFont="1" applyFill="1" applyBorder="1" applyAlignment="1">
      <alignment horizontal="right"/>
    </xf>
    <xf numFmtId="2" fontId="23" fillId="10" borderId="13" xfId="0" applyFont="1" applyFill="1" applyBorder="1" applyAlignment="1"/>
    <xf numFmtId="2" fontId="20" fillId="2" borderId="13" xfId="0" applyFont="1" applyFill="1" applyBorder="1" applyAlignment="1"/>
    <xf numFmtId="2" fontId="20" fillId="11" borderId="21" xfId="0" applyFont="1" applyFill="1" applyBorder="1" applyAlignment="1"/>
    <xf numFmtId="165" fontId="20" fillId="6" borderId="21" xfId="0" applyNumberFormat="1" applyFont="1" applyFill="1" applyBorder="1" applyAlignment="1"/>
    <xf numFmtId="165" fontId="20" fillId="6" borderId="13" xfId="0" applyNumberFormat="1" applyFont="1" applyFill="1" applyBorder="1" applyAlignment="1"/>
    <xf numFmtId="165" fontId="20" fillId="6" borderId="22" xfId="0" applyNumberFormat="1" applyFont="1" applyFill="1" applyBorder="1" applyAlignment="1"/>
    <xf numFmtId="2" fontId="1" fillId="2" borderId="23" xfId="0" applyNumberFormat="1" applyFont="1" applyFill="1" applyBorder="1" applyAlignment="1"/>
    <xf numFmtId="2" fontId="20" fillId="2" borderId="24" xfId="0" applyFont="1" applyFill="1" applyBorder="1" applyAlignment="1"/>
    <xf numFmtId="2" fontId="20" fillId="2" borderId="25" xfId="0" applyFont="1" applyFill="1" applyBorder="1" applyAlignment="1">
      <alignment horizontal="centerContinuous"/>
    </xf>
    <xf numFmtId="2" fontId="25" fillId="2" borderId="10" xfId="1" applyNumberFormat="1" applyFill="1" applyBorder="1" applyAlignment="1">
      <alignment horizontal="center"/>
    </xf>
    <xf numFmtId="2" fontId="25" fillId="2" borderId="11" xfId="1" applyNumberFormat="1" applyFill="1" applyBorder="1" applyAlignment="1">
      <alignment horizontal="center"/>
    </xf>
    <xf numFmtId="2" fontId="20" fillId="2" borderId="26" xfId="0" applyFont="1" applyFill="1" applyBorder="1" applyAlignment="1"/>
    <xf numFmtId="2" fontId="20" fillId="2" borderId="0" xfId="0" applyFont="1" applyFill="1" applyBorder="1" applyAlignment="1"/>
    <xf numFmtId="2" fontId="20" fillId="5" borderId="26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2881419054055918"/>
          <c:y val="3.2745632214302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51472434102539"/>
          <c:y val="0.18387931935723906"/>
          <c:w val="0.61299604132470797"/>
          <c:h val="0.63979927557176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power"/>
            <c:dispRSqr val="0"/>
            <c:dispEq val="0"/>
          </c:trendline>
          <c:xVal>
            <c:numRef>
              <c:f>[1]A!$DJ$73:$DJ$79</c:f>
              <c:numCache>
                <c:formatCode>General</c:formatCode>
                <c:ptCount val="7"/>
                <c:pt idx="0">
                  <c:v>5.7339401311811977E-2</c:v>
                </c:pt>
                <c:pt idx="1">
                  <c:v>0.27890528142899207</c:v>
                </c:pt>
                <c:pt idx="2">
                  <c:v>0.25578542122420922</c:v>
                </c:pt>
                <c:pt idx="3">
                  <c:v>0.2156706045529504</c:v>
                </c:pt>
                <c:pt idx="4">
                  <c:v>0.19453581027162084</c:v>
                </c:pt>
                <c:pt idx="5">
                  <c:v>0.21708016781039011</c:v>
                </c:pt>
                <c:pt idx="6">
                  <c:v>0.32411360788700422</c:v>
                </c:pt>
              </c:numCache>
            </c:numRef>
          </c:xVal>
          <c:yVal>
            <c:numRef>
              <c:f>[1]A!$DK$73:$DK$79</c:f>
              <c:numCache>
                <c:formatCode>General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6624"/>
        <c:axId val="172795392"/>
      </c:scatterChart>
      <c:valAx>
        <c:axId val="14986624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[1]A!$DJ$72</c:f>
              <c:strCache>
                <c:ptCount val="1"/>
                <c:pt idx="0">
                  <c:v>Water Saturation - fractional</c:v>
                </c:pt>
              </c:strCache>
            </c:strRef>
          </c:tx>
          <c:layout>
            <c:manualLayout>
              <c:xMode val="edge"/>
              <c:yMode val="edge"/>
              <c:x val="0.35310831873543086"/>
              <c:y val="0.8891698593576080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795392"/>
        <c:crosses val="autoZero"/>
        <c:crossBetween val="midCat"/>
        <c:majorUnit val="0.2"/>
        <c:minorUnit val="0.05"/>
      </c:valAx>
      <c:valAx>
        <c:axId val="172795392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[1]A!$DK$72</c:f>
              <c:strCache>
                <c:ptCount val="1"/>
                <c:pt idx="0">
                  <c:v>Porosity - fractional</c:v>
                </c:pt>
              </c:strCache>
            </c:strRef>
          </c:tx>
          <c:layout>
            <c:manualLayout>
              <c:xMode val="edge"/>
              <c:yMode val="edge"/>
              <c:x val="5.0847597897902039E-2"/>
              <c:y val="0.34256969085732208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86624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2901695195796"/>
          <c:y val="0.47355221971453348"/>
          <c:w val="0.25141312293962675"/>
          <c:h val="0.123425844500064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3370786516854"/>
          <c:y val="3.2745632214302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29213483146068"/>
          <c:y val="0.18387931935723906"/>
          <c:w val="0.6095505617977528"/>
          <c:h val="0.63979927557176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[1]A!$DL$73:$DL$79</c:f>
              <c:numCache>
                <c:formatCode>General</c:formatCode>
                <c:ptCount val="7"/>
                <c:pt idx="0">
                  <c:v>13.603510937606529</c:v>
                </c:pt>
                <c:pt idx="1">
                  <c:v>1.415559850152779E-2</c:v>
                </c:pt>
                <c:pt idx="2">
                  <c:v>4.1372830197390753</c:v>
                </c:pt>
                <c:pt idx="3">
                  <c:v>18.482637239513263</c:v>
                </c:pt>
                <c:pt idx="4">
                  <c:v>123.65330446522979</c:v>
                </c:pt>
                <c:pt idx="5">
                  <c:v>48.722423364518519</c:v>
                </c:pt>
                <c:pt idx="6">
                  <c:v>4.9903078756751666</c:v>
                </c:pt>
              </c:numCache>
            </c:numRef>
          </c:xVal>
          <c:yVal>
            <c:numRef>
              <c:f>[1]A!$DM$73:$DM$79</c:f>
              <c:numCache>
                <c:formatCode>General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30720"/>
        <c:axId val="173146880"/>
      </c:scatterChart>
      <c:valAx>
        <c:axId val="17323072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[1]A!$DL$72</c:f>
              <c:strCache>
                <c:ptCount val="1"/>
                <c:pt idx="0">
                  <c:v>Permeability - millidarcies</c:v>
                </c:pt>
              </c:strCache>
            </c:strRef>
          </c:tx>
          <c:layout>
            <c:manualLayout>
              <c:xMode val="edge"/>
              <c:yMode val="edge"/>
              <c:x val="0.2808988764044944"/>
              <c:y val="0.8992454385004704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146880"/>
        <c:crosses val="autoZero"/>
        <c:crossBetween val="midCat"/>
        <c:majorUnit val="10"/>
        <c:minorUnit val="10"/>
      </c:valAx>
      <c:valAx>
        <c:axId val="173146880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[1]A!$DM$72</c:f>
              <c:strCache>
                <c:ptCount val="1"/>
                <c:pt idx="0">
                  <c:v>Porosity - fractional</c:v>
                </c:pt>
              </c:strCache>
            </c:strRef>
          </c:tx>
          <c:layout>
            <c:manualLayout>
              <c:xMode val="edge"/>
              <c:yMode val="edge"/>
              <c:x val="5.0561797752808987E-2"/>
              <c:y val="0.34256969085732208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230720"/>
        <c:crossesAt val="0.01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988764044944"/>
          <c:y val="0.47355221971453348"/>
          <c:w val="0.20786516853932585"/>
          <c:h val="0.123425844500064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2881419054055918"/>
          <c:y val="2.713704206241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51472434102539"/>
          <c:y val="0.11940298507462686"/>
          <c:w val="0.61299604132470797"/>
          <c:h val="0.7503026315837725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[1]A!$DN$73:$DN$79</c:f>
              <c:numCache>
                <c:formatCode>General</c:formatCode>
                <c:ptCount val="7"/>
                <c:pt idx="0">
                  <c:v>0.3</c:v>
                </c:pt>
                <c:pt idx="1">
                  <c:v>0.12925</c:v>
                </c:pt>
                <c:pt idx="2">
                  <c:v>0.1278</c:v>
                </c:pt>
                <c:pt idx="3">
                  <c:v>0.16966666666666699</c:v>
                </c:pt>
                <c:pt idx="4">
                  <c:v>0.17633333333333301</c:v>
                </c:pt>
                <c:pt idx="5">
                  <c:v>0.155</c:v>
                </c:pt>
                <c:pt idx="6">
                  <c:v>0.1295</c:v>
                </c:pt>
              </c:numCache>
            </c:numRef>
          </c:xVal>
          <c:yVal>
            <c:numRef>
              <c:f>[1]A!$DO$73:$DO$79</c:f>
              <c:numCache>
                <c:formatCode>General</c:formatCode>
                <c:ptCount val="7"/>
                <c:pt idx="0">
                  <c:v>0</c:v>
                </c:pt>
                <c:pt idx="1">
                  <c:v>-5.0500000000000003E-2</c:v>
                </c:pt>
                <c:pt idx="2">
                  <c:v>7.6999999999999999E-2</c:v>
                </c:pt>
                <c:pt idx="3">
                  <c:v>0.10299999999999999</c:v>
                </c:pt>
                <c:pt idx="4">
                  <c:v>0.148666666666667</c:v>
                </c:pt>
                <c:pt idx="5">
                  <c:v>0.1265</c:v>
                </c:pt>
                <c:pt idx="6">
                  <c:v>8.0166666666666705E-2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83744"/>
        <c:axId val="173186048"/>
      </c:scatterChart>
      <c:valAx>
        <c:axId val="173183744"/>
        <c:scaling>
          <c:orientation val="minMax"/>
          <c:max val="0.3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[1]A!$DN$72</c:f>
              <c:strCache>
                <c:ptCount val="1"/>
                <c:pt idx="0">
                  <c:v>Neutron Porosity - fractional</c:v>
                </c:pt>
              </c:strCache>
            </c:strRef>
          </c:tx>
          <c:layout>
            <c:manualLayout>
              <c:xMode val="edge"/>
              <c:yMode val="edge"/>
              <c:x val="0.26836232223892742"/>
              <c:y val="0.9430122116689281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186048"/>
        <c:crosses val="autoZero"/>
        <c:crossBetween val="midCat"/>
        <c:majorUnit val="0.05"/>
        <c:minorUnit val="0.01"/>
      </c:valAx>
      <c:valAx>
        <c:axId val="173186048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[1]A!$DO$72</c:f>
              <c:strCache>
                <c:ptCount val="1"/>
                <c:pt idx="0">
                  <c:v>Density Porosity - fractional</c:v>
                </c:pt>
              </c:strCache>
            </c:strRef>
          </c:tx>
          <c:layout>
            <c:manualLayout>
              <c:xMode val="edge"/>
              <c:yMode val="edge"/>
              <c:x val="5.0847597897902039E-2"/>
              <c:y val="0.38941655359565808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183744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13242941281946"/>
          <c:y val="0.49525101763907736"/>
          <c:w val="7.3446530296969612E-2"/>
          <c:h val="3.25644504748982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3370786516854"/>
          <c:y val="2.713704206241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29213483146068"/>
          <c:y val="0.11940298507462686"/>
          <c:w val="0.6095505617977528"/>
          <c:h val="0.7419120223413919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[1]A!$DP$73:$DP$79</c:f>
              <c:numCache>
                <c:formatCode>General</c:formatCode>
                <c:ptCount val="7"/>
                <c:pt idx="0">
                  <c:v>182.9</c:v>
                </c:pt>
                <c:pt idx="1">
                  <c:v>223.77500000000001</c:v>
                </c:pt>
                <c:pt idx="2">
                  <c:v>63.32</c:v>
                </c:pt>
                <c:pt idx="3">
                  <c:v>54.366666666666703</c:v>
                </c:pt>
                <c:pt idx="4">
                  <c:v>43.933333333333302</c:v>
                </c:pt>
                <c:pt idx="5">
                  <c:v>45.3</c:v>
                </c:pt>
                <c:pt idx="6">
                  <c:v>37.466666666666697</c:v>
                </c:pt>
              </c:numCache>
            </c:numRef>
          </c:xVal>
          <c:yVal>
            <c:numRef>
              <c:f>[1]A!$DQ$73:$DQ$79</c:f>
              <c:numCache>
                <c:formatCode>General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10624"/>
        <c:axId val="219440640"/>
      </c:scatterChart>
      <c:valAx>
        <c:axId val="173210624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[1]A!$DP$72</c:f>
              <c:strCache>
                <c:ptCount val="1"/>
                <c:pt idx="0">
                  <c:v>Deep Resistivity -ohm-m</c:v>
                </c:pt>
              </c:strCache>
            </c:strRef>
          </c:tx>
          <c:layout>
            <c:manualLayout>
              <c:xMode val="edge"/>
              <c:yMode val="edge"/>
              <c:x val="0.300561797752809"/>
              <c:y val="0.9430122116689281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440640"/>
        <c:crossesAt val="0.01"/>
        <c:crossBetween val="midCat"/>
      </c:valAx>
      <c:valAx>
        <c:axId val="219440640"/>
        <c:scaling>
          <c:logBase val="10"/>
          <c:orientation val="minMax"/>
          <c:max val="1"/>
          <c:min val="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[1]A!$DQ$72</c:f>
              <c:strCache>
                <c:ptCount val="1"/>
                <c:pt idx="0">
                  <c:v>Effective Porosity - fractional</c:v>
                </c:pt>
              </c:strCache>
            </c:strRef>
          </c:tx>
          <c:layout>
            <c:manualLayout>
              <c:xMode val="edge"/>
              <c:yMode val="edge"/>
              <c:x val="5.0561797752808987E-2"/>
              <c:y val="0.3839891451831750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210624"/>
        <c:crossesAt val="10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85393258427"/>
          <c:y val="0.49525101763907736"/>
          <c:w val="7.3033707865168537E-2"/>
          <c:h val="3.256445047489823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5</xdr:col>
      <xdr:colOff>66675</xdr:colOff>
      <xdr:row>104</xdr:row>
      <xdr:rowOff>57150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81</xdr:row>
      <xdr:rowOff>0</xdr:rowOff>
    </xdr:from>
    <xdr:to>
      <xdr:col>11</xdr:col>
      <xdr:colOff>152400</xdr:colOff>
      <xdr:row>104</xdr:row>
      <xdr:rowOff>57150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7682</xdr:colOff>
      <xdr:row>105</xdr:row>
      <xdr:rowOff>53773</xdr:rowOff>
    </xdr:from>
    <xdr:to>
      <xdr:col>5</xdr:col>
      <xdr:colOff>74357</xdr:colOff>
      <xdr:row>122</xdr:row>
      <xdr:rowOff>38407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11</xdr:col>
      <xdr:colOff>152400</xdr:colOff>
      <xdr:row>122</xdr:row>
      <xdr:rowOff>46088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metae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72">
          <cell r="DJ72" t="str">
            <v>Water Saturation - fractional</v>
          </cell>
          <cell r="DK72" t="str">
            <v>Porosity - fractional</v>
          </cell>
          <cell r="DL72" t="str">
            <v>Permeability - millidarcies</v>
          </cell>
          <cell r="DM72" t="str">
            <v>Porosity - fractional</v>
          </cell>
          <cell r="DN72" t="str">
            <v>Neutron Porosity - fractional</v>
          </cell>
          <cell r="DO72" t="str">
            <v>Density Porosity - fractional</v>
          </cell>
          <cell r="DP72" t="str">
            <v>Deep Resistivity -ohm-m</v>
          </cell>
          <cell r="DQ72" t="str">
            <v>Effective Porosity - fractional</v>
          </cell>
        </row>
        <row r="73">
          <cell r="DJ73">
            <v>5.7339401311811977E-2</v>
          </cell>
          <cell r="DK73">
            <v>8.7449947494025446E-2</v>
          </cell>
          <cell r="DL73">
            <v>13.603510937606529</v>
          </cell>
          <cell r="DM73">
            <v>8.7449947494025446E-2</v>
          </cell>
          <cell r="DN73">
            <v>0.3</v>
          </cell>
          <cell r="DO73">
            <v>0</v>
          </cell>
          <cell r="DP73">
            <v>182.9</v>
          </cell>
          <cell r="DQ73">
            <v>8.7449947494025446E-2</v>
          </cell>
        </row>
        <row r="74">
          <cell r="DJ74">
            <v>0.27890528142899207</v>
          </cell>
          <cell r="DK74">
            <v>4.7167220589995111E-2</v>
          </cell>
          <cell r="DL74">
            <v>1.415559850152779E-2</v>
          </cell>
          <cell r="DM74">
            <v>4.7167220589995111E-2</v>
          </cell>
          <cell r="DN74">
            <v>0.12925</v>
          </cell>
          <cell r="DO74">
            <v>-5.0500000000000003E-2</v>
          </cell>
          <cell r="DP74">
            <v>223.77500000000001</v>
          </cell>
          <cell r="DQ74">
            <v>4.7167220589995111E-2</v>
          </cell>
        </row>
        <row r="75">
          <cell r="DJ75">
            <v>0.25578542122420922</v>
          </cell>
          <cell r="DK75">
            <v>0.11786089034634956</v>
          </cell>
          <cell r="DL75">
            <v>4.1372830197390753</v>
          </cell>
          <cell r="DM75">
            <v>0.11786089034634956</v>
          </cell>
          <cell r="DN75">
            <v>0.1278</v>
          </cell>
          <cell r="DO75">
            <v>7.6999999999999999E-2</v>
          </cell>
          <cell r="DP75">
            <v>63.32</v>
          </cell>
          <cell r="DQ75">
            <v>0.11786089034634956</v>
          </cell>
        </row>
        <row r="76">
          <cell r="DJ76">
            <v>0.2156706045529504</v>
          </cell>
          <cell r="DK76">
            <v>0.14312790304580275</v>
          </cell>
          <cell r="DL76">
            <v>18.482637239513263</v>
          </cell>
          <cell r="DM76">
            <v>0.14312790304580275</v>
          </cell>
          <cell r="DN76">
            <v>0.16966666666666699</v>
          </cell>
          <cell r="DO76">
            <v>0.10299999999999999</v>
          </cell>
          <cell r="DP76">
            <v>54.366666666666703</v>
          </cell>
          <cell r="DQ76">
            <v>0.14312790304580275</v>
          </cell>
        </row>
        <row r="77">
          <cell r="DJ77">
            <v>0.19453581027162084</v>
          </cell>
          <cell r="DK77">
            <v>0.18022126325081503</v>
          </cell>
          <cell r="DL77">
            <v>123.65330446522979</v>
          </cell>
          <cell r="DM77">
            <v>0.18022126325081503</v>
          </cell>
          <cell r="DN77">
            <v>0.17633333333333301</v>
          </cell>
          <cell r="DO77">
            <v>0.148666666666667</v>
          </cell>
          <cell r="DP77">
            <v>43.933333333333302</v>
          </cell>
          <cell r="DQ77">
            <v>0.18022126325081503</v>
          </cell>
        </row>
        <row r="78">
          <cell r="DJ78">
            <v>0.21708016781039011</v>
          </cell>
          <cell r="DK78">
            <v>0.16041553492288399</v>
          </cell>
          <cell r="DL78">
            <v>48.722423364518519</v>
          </cell>
          <cell r="DM78">
            <v>0.16041553492288399</v>
          </cell>
          <cell r="DN78">
            <v>0.155</v>
          </cell>
          <cell r="DO78">
            <v>0.1265</v>
          </cell>
          <cell r="DP78">
            <v>45.3</v>
          </cell>
          <cell r="DQ78">
            <v>0.16041553492288399</v>
          </cell>
        </row>
        <row r="79">
          <cell r="DJ79">
            <v>0.32411360788700422</v>
          </cell>
          <cell r="DK79">
            <v>0.12065525204004117</v>
          </cell>
          <cell r="DL79">
            <v>4.9903078756751666</v>
          </cell>
          <cell r="DM79">
            <v>0.12065525204004117</v>
          </cell>
          <cell r="DN79">
            <v>0.1295</v>
          </cell>
          <cell r="DO79">
            <v>8.0166666666666705E-2</v>
          </cell>
          <cell r="DP79">
            <v>37.466666666666697</v>
          </cell>
          <cell r="DQ79">
            <v>0.12065525204004117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T165"/>
  <sheetViews>
    <sheetView tabSelected="1" showOutlineSymbols="0" defaultGridColor="0" colorId="15" zoomScale="124" zoomScaleNormal="124" workbookViewId="0"/>
  </sheetViews>
  <sheetFormatPr defaultColWidth="7.7109375" defaultRowHeight="12.75"/>
  <cols>
    <col min="1" max="1" width="10.7109375" customWidth="1"/>
    <col min="2" max="123" width="9.7109375" customWidth="1"/>
  </cols>
  <sheetData>
    <row r="1" spans="1:124" ht="30.75" thickTop="1">
      <c r="A1" s="117" t="s">
        <v>506</v>
      </c>
      <c r="B1" s="1"/>
      <c r="C1" s="1"/>
      <c r="D1" s="1"/>
      <c r="E1" s="1"/>
      <c r="F1" s="1"/>
      <c r="G1" s="1"/>
      <c r="H1" s="1"/>
      <c r="I1" s="1"/>
      <c r="J1" s="1"/>
      <c r="K1" s="2"/>
      <c r="L1" s="4" t="s">
        <v>0</v>
      </c>
      <c r="M1" s="4"/>
      <c r="N1" s="4"/>
      <c r="O1" s="4"/>
      <c r="P1" s="4"/>
      <c r="Q1" s="4"/>
      <c r="R1" s="4"/>
      <c r="S1" s="5"/>
      <c r="T1" s="3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3" t="s">
        <v>2</v>
      </c>
      <c r="AF1" s="4"/>
      <c r="AG1" s="4"/>
      <c r="AH1" s="4"/>
      <c r="AI1" s="4"/>
      <c r="AJ1" s="4"/>
      <c r="AK1" s="4"/>
      <c r="AL1" s="4"/>
      <c r="AM1" s="6"/>
      <c r="AN1" s="7"/>
      <c r="AO1" s="7" t="s">
        <v>3</v>
      </c>
      <c r="AP1" s="8"/>
      <c r="AQ1" s="8"/>
      <c r="AR1" s="8"/>
      <c r="AS1" s="8"/>
      <c r="AT1" s="8"/>
      <c r="AU1" s="10"/>
      <c r="AV1" s="10"/>
      <c r="AW1" s="14"/>
      <c r="AX1" s="14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7"/>
    </row>
    <row r="2" spans="1:124" ht="18.75" thickBot="1">
      <c r="A2" s="118" t="s">
        <v>505</v>
      </c>
      <c r="B2" s="95"/>
      <c r="C2" s="95"/>
      <c r="D2" s="95"/>
      <c r="E2" s="95"/>
      <c r="F2" s="95"/>
      <c r="G2" s="95"/>
      <c r="H2" s="95"/>
      <c r="I2" s="95"/>
      <c r="J2" s="95"/>
      <c r="K2" s="96"/>
      <c r="L2" s="19"/>
      <c r="M2" s="19"/>
      <c r="N2" s="19"/>
      <c r="O2" s="19"/>
      <c r="P2" s="19"/>
      <c r="Q2" s="19"/>
      <c r="R2" s="19"/>
      <c r="S2" s="16"/>
      <c r="T2" s="18"/>
      <c r="U2" s="19"/>
      <c r="V2" s="19"/>
      <c r="W2" s="19"/>
      <c r="X2" s="19"/>
      <c r="Y2" s="19"/>
      <c r="Z2" s="19"/>
      <c r="AA2" s="19"/>
      <c r="AB2" s="19"/>
      <c r="AC2" s="19"/>
      <c r="AD2" s="19"/>
      <c r="AE2" s="18"/>
      <c r="AF2" s="19"/>
      <c r="AG2" s="19"/>
      <c r="AH2" s="19"/>
      <c r="AI2" s="19"/>
      <c r="AJ2" s="19"/>
      <c r="AK2" s="19"/>
      <c r="AL2" s="19"/>
      <c r="AM2" s="9"/>
      <c r="AN2" s="10"/>
      <c r="AO2" s="10"/>
      <c r="AP2" s="10" t="s">
        <v>5</v>
      </c>
      <c r="AQ2" s="10"/>
      <c r="AR2" s="10"/>
      <c r="AS2" s="10"/>
      <c r="AT2" s="10"/>
      <c r="AU2" s="10"/>
      <c r="AV2" s="10"/>
      <c r="AW2" s="14"/>
      <c r="AX2" s="14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7"/>
    </row>
    <row r="3" spans="1:124" ht="19.5" thickTop="1" thickBot="1">
      <c r="A3" s="118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8"/>
      <c r="L3" s="21" t="s">
        <v>6</v>
      </c>
      <c r="M3" s="21"/>
      <c r="N3" s="21"/>
      <c r="O3" s="20" t="s">
        <v>7</v>
      </c>
      <c r="P3" s="20" t="s">
        <v>8</v>
      </c>
      <c r="Q3" s="20" t="s">
        <v>9</v>
      </c>
      <c r="R3" s="20" t="s">
        <v>10</v>
      </c>
      <c r="S3" s="22"/>
      <c r="T3" s="23" t="s">
        <v>11</v>
      </c>
      <c r="U3" s="23"/>
      <c r="V3" s="23"/>
      <c r="W3" s="13" t="s">
        <v>12</v>
      </c>
      <c r="X3" s="13" t="s">
        <v>13</v>
      </c>
      <c r="Y3" s="13" t="s">
        <v>14</v>
      </c>
      <c r="Z3" s="13" t="s">
        <v>15</v>
      </c>
      <c r="AA3" s="13" t="s">
        <v>486</v>
      </c>
      <c r="AB3" s="13" t="s">
        <v>16</v>
      </c>
      <c r="AC3" s="13" t="s">
        <v>17</v>
      </c>
      <c r="AD3" s="13" t="s">
        <v>18</v>
      </c>
      <c r="AE3" s="13" t="s">
        <v>19</v>
      </c>
      <c r="AF3" s="11"/>
      <c r="AG3" s="11"/>
      <c r="AH3" s="11"/>
      <c r="AI3" s="11"/>
      <c r="AJ3" s="11"/>
      <c r="AK3" s="11"/>
      <c r="AL3" s="11"/>
      <c r="AM3" s="9"/>
      <c r="AN3" s="10"/>
      <c r="AO3" s="17"/>
      <c r="AP3" s="17"/>
      <c r="AQ3" s="17"/>
      <c r="AR3" s="17"/>
      <c r="AS3" s="17"/>
      <c r="AT3" s="10"/>
      <c r="AU3" s="10"/>
      <c r="AV3" s="10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7"/>
    </row>
    <row r="4" spans="1:124" ht="14.25" thickTop="1" thickBot="1">
      <c r="A4" s="119"/>
      <c r="B4" s="99"/>
      <c r="C4" s="99"/>
      <c r="D4" s="99"/>
      <c r="E4" s="99"/>
      <c r="F4" s="99"/>
      <c r="G4" s="99"/>
      <c r="H4" s="99"/>
      <c r="I4" s="99"/>
      <c r="J4" s="99"/>
      <c r="K4" s="98"/>
      <c r="L4" s="21" t="s">
        <v>20</v>
      </c>
      <c r="M4" s="21" t="s">
        <v>21</v>
      </c>
      <c r="N4" s="21" t="s">
        <v>22</v>
      </c>
      <c r="O4" s="20" t="s">
        <v>23</v>
      </c>
      <c r="P4" s="20" t="s">
        <v>23</v>
      </c>
      <c r="Q4" s="20" t="s">
        <v>23</v>
      </c>
      <c r="R4" s="20" t="s">
        <v>24</v>
      </c>
      <c r="S4" s="22"/>
      <c r="T4" s="23" t="s">
        <v>25</v>
      </c>
      <c r="U4" s="23" t="s">
        <v>26</v>
      </c>
      <c r="V4" s="23"/>
      <c r="W4" s="24" t="s">
        <v>27</v>
      </c>
      <c r="X4" s="24">
        <v>1.80377358490566</v>
      </c>
      <c r="Y4" s="24">
        <v>-2.8000000000000001E-2</v>
      </c>
      <c r="Z4" s="24">
        <f>2.65*$L$15</f>
        <v>2650</v>
      </c>
      <c r="AA4" s="24">
        <f>55.4708930204206*$L$9</f>
        <v>181.99111883340072</v>
      </c>
      <c r="AB4" s="24">
        <f t="shared" ref="AB4:AB28" si="0">0.01*($E$25-AA4)/(Z4-$D$25)/$L$9*$L$15</f>
        <v>0.80320670896714785</v>
      </c>
      <c r="AC4" s="24">
        <f t="shared" ref="AC4:AC28" si="1">($C$25-Y4)/(Z4-$D$25)*$L$15</f>
        <v>0.62303030303030305</v>
      </c>
      <c r="AD4" s="24">
        <f t="shared" ref="AD4:AD28" si="2">Z4*X4/$L$15</f>
        <v>4.7799999999999994</v>
      </c>
      <c r="AE4" s="12" t="s">
        <v>28</v>
      </c>
      <c r="AF4" s="14"/>
      <c r="AG4" s="14"/>
      <c r="AH4" s="14"/>
      <c r="AI4" s="14"/>
      <c r="AJ4" s="14"/>
      <c r="AK4" s="14"/>
      <c r="AL4" s="14"/>
      <c r="AM4" s="9"/>
      <c r="AN4" s="10"/>
      <c r="AO4" s="17"/>
      <c r="AP4" s="17"/>
      <c r="AQ4" s="17"/>
      <c r="AR4" s="17"/>
      <c r="AS4" s="17"/>
      <c r="AT4" s="10"/>
      <c r="AU4" s="10"/>
      <c r="AV4" s="10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7"/>
    </row>
    <row r="5" spans="1:124" ht="15.95" customHeight="1" thickTop="1" thickBot="1">
      <c r="A5" s="133" t="s">
        <v>496</v>
      </c>
      <c r="B5" s="100"/>
      <c r="C5" s="100"/>
      <c r="D5" s="100"/>
      <c r="E5" s="100"/>
      <c r="F5" s="100"/>
      <c r="G5" s="100"/>
      <c r="H5" s="100"/>
      <c r="I5" s="136" t="s">
        <v>497</v>
      </c>
      <c r="J5" s="136"/>
      <c r="K5" s="137"/>
      <c r="L5" s="27">
        <f t="shared" ref="L5:L23" si="3">IF($A$15="M",N5,M5)</f>
        <v>1</v>
      </c>
      <c r="M5" s="27">
        <v>0</v>
      </c>
      <c r="N5" s="27">
        <v>1</v>
      </c>
      <c r="O5" s="27"/>
      <c r="P5" s="27" t="s">
        <v>29</v>
      </c>
      <c r="Q5" s="27"/>
      <c r="R5" s="27"/>
      <c r="S5" s="28"/>
      <c r="T5" s="29"/>
      <c r="U5" s="29" t="s">
        <v>30</v>
      </c>
      <c r="V5" s="29"/>
      <c r="W5" s="30" t="s">
        <v>31</v>
      </c>
      <c r="X5" s="30">
        <v>5.0811808118081201</v>
      </c>
      <c r="Y5" s="30">
        <v>0</v>
      </c>
      <c r="Z5" s="30">
        <f>2.71*$L$15</f>
        <v>2710</v>
      </c>
      <c r="AA5" s="30">
        <f>47.2416946053033*$L$9</f>
        <v>154.99243636910515</v>
      </c>
      <c r="AB5" s="30">
        <f t="shared" si="0"/>
        <v>0.82314798476430828</v>
      </c>
      <c r="AC5" s="30">
        <f t="shared" si="1"/>
        <v>0.58479532163742687</v>
      </c>
      <c r="AD5" s="30">
        <f t="shared" si="2"/>
        <v>13.770000000000005</v>
      </c>
      <c r="AE5" s="31" t="s">
        <v>32</v>
      </c>
      <c r="AF5" s="32"/>
      <c r="AG5" s="32"/>
      <c r="AH5" s="32"/>
      <c r="AI5" s="32"/>
      <c r="AJ5" s="32"/>
      <c r="AK5" s="32"/>
      <c r="AL5" s="32"/>
      <c r="AM5" s="33"/>
      <c r="AN5" s="34"/>
      <c r="AO5" s="34">
        <f t="shared" ref="AO5:AO10" si="4">A6</f>
        <v>0</v>
      </c>
      <c r="AP5" s="34"/>
      <c r="AQ5" s="34">
        <f t="shared" ref="AQ5:AQ10" si="5">C6</f>
        <v>0</v>
      </c>
      <c r="AR5" s="34"/>
      <c r="AS5" s="34"/>
      <c r="AT5" s="34"/>
      <c r="AU5" s="34"/>
      <c r="AV5" s="34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</row>
    <row r="6" spans="1:124" ht="14.25" thickTop="1" thickBot="1">
      <c r="A6" s="120"/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39">
        <f t="shared" si="3"/>
        <v>21.5</v>
      </c>
      <c r="M6" s="39">
        <v>6.7</v>
      </c>
      <c r="N6" s="39">
        <v>21.5</v>
      </c>
      <c r="O6" s="39">
        <f>C54</f>
        <v>1</v>
      </c>
      <c r="P6" s="39">
        <f>E54</f>
        <v>0</v>
      </c>
      <c r="Q6" s="39">
        <f>MIN(1,G54+$G$43)</f>
        <v>1</v>
      </c>
      <c r="R6" s="39">
        <f>I54</f>
        <v>0</v>
      </c>
      <c r="S6" s="28"/>
      <c r="T6" s="29"/>
      <c r="U6" s="29" t="s">
        <v>34</v>
      </c>
      <c r="V6" s="29"/>
      <c r="W6" s="30" t="s">
        <v>35</v>
      </c>
      <c r="X6" s="30">
        <v>3.1358885017421598</v>
      </c>
      <c r="Y6" s="30">
        <v>5.0000000000000001E-3</v>
      </c>
      <c r="Z6" s="30">
        <f>2.87*$L$15</f>
        <v>2870</v>
      </c>
      <c r="AA6" s="30">
        <f>43.8890582139592*$L$9</f>
        <v>143.99297314291061</v>
      </c>
      <c r="AB6" s="30">
        <f t="shared" si="0"/>
        <v>0.7706467475189348</v>
      </c>
      <c r="AC6" s="30">
        <f t="shared" si="1"/>
        <v>0.53208556149732622</v>
      </c>
      <c r="AD6" s="30">
        <f t="shared" si="2"/>
        <v>8.9999999999999982</v>
      </c>
      <c r="AE6" s="31"/>
      <c r="AF6" s="32"/>
      <c r="AG6" s="32"/>
      <c r="AH6" s="32"/>
      <c r="AI6" s="32"/>
      <c r="AJ6" s="32"/>
      <c r="AK6" s="32"/>
      <c r="AL6" s="32"/>
      <c r="AM6" s="33"/>
      <c r="AN6" s="34"/>
      <c r="AO6" s="34" t="str">
        <f t="shared" si="4"/>
        <v>Well Name</v>
      </c>
      <c r="AP6" s="34"/>
      <c r="AQ6" s="34" t="str">
        <f t="shared" si="5"/>
        <v>PCP Beaverlodge 11-36</v>
      </c>
      <c r="AR6" s="34"/>
      <c r="AS6" s="34">
        <f>E7</f>
        <v>0</v>
      </c>
      <c r="AT6" s="34"/>
      <c r="AU6" s="34"/>
      <c r="AV6" s="34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</row>
    <row r="7" spans="1:124" ht="14.25" thickTop="1" thickBot="1">
      <c r="A7" s="107" t="s">
        <v>498</v>
      </c>
      <c r="B7" s="103"/>
      <c r="C7" s="104" t="s">
        <v>499</v>
      </c>
      <c r="D7" s="105"/>
      <c r="E7" s="106"/>
      <c r="F7" s="107"/>
      <c r="G7" s="108" t="s">
        <v>500</v>
      </c>
      <c r="H7" s="104" t="s">
        <v>33</v>
      </c>
      <c r="I7" s="105"/>
      <c r="J7" s="107"/>
      <c r="K7" s="102"/>
      <c r="L7" s="39">
        <f t="shared" si="3"/>
        <v>1.8</v>
      </c>
      <c r="M7" s="39">
        <v>1</v>
      </c>
      <c r="N7" s="39">
        <v>1.8</v>
      </c>
      <c r="O7" s="39">
        <f>C55</f>
        <v>0.4</v>
      </c>
      <c r="P7" s="39">
        <f>E55</f>
        <v>0.08</v>
      </c>
      <c r="Q7" s="39">
        <f>MIN(1,G55+$G$43)</f>
        <v>0.6</v>
      </c>
      <c r="R7" s="39">
        <f>I55</f>
        <v>1</v>
      </c>
      <c r="S7" s="28"/>
      <c r="T7" s="29"/>
      <c r="U7" s="29" t="s">
        <v>36</v>
      </c>
      <c r="V7" s="29"/>
      <c r="W7" s="30" t="s">
        <v>37</v>
      </c>
      <c r="X7" s="30">
        <v>5.0677966101694896</v>
      </c>
      <c r="Y7" s="30">
        <v>2E-3</v>
      </c>
      <c r="Z7" s="30">
        <f>2.95*$L$15</f>
        <v>2950</v>
      </c>
      <c r="AA7" s="30">
        <f>49.9847607436757*$L$9</f>
        <v>163.99199719053689</v>
      </c>
      <c r="AB7" s="30">
        <f t="shared" si="0"/>
        <v>0.70777045772474023</v>
      </c>
      <c r="AC7" s="30">
        <f t="shared" si="1"/>
        <v>0.51179487179487182</v>
      </c>
      <c r="AD7" s="30">
        <f t="shared" si="2"/>
        <v>14.949999999999994</v>
      </c>
      <c r="AE7" s="31" t="s">
        <v>38</v>
      </c>
      <c r="AF7" s="32"/>
      <c r="AG7" s="32"/>
      <c r="AH7" s="32"/>
      <c r="AI7" s="32"/>
      <c r="AJ7" s="32"/>
      <c r="AK7" s="32"/>
      <c r="AL7" s="32"/>
      <c r="AM7" s="33"/>
      <c r="AN7" s="34"/>
      <c r="AO7" s="34" t="str">
        <f t="shared" si="4"/>
        <v>Field / Zone</v>
      </c>
      <c r="AP7" s="34"/>
      <c r="AQ7" s="34" t="str">
        <f t="shared" si="5"/>
        <v>Beaverlodge / Halfway</v>
      </c>
      <c r="AR7" s="34"/>
      <c r="AS7" s="34"/>
      <c r="AT7" s="34"/>
      <c r="AU7" s="34"/>
      <c r="AV7" s="34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</row>
    <row r="8" spans="1:124" ht="14.25" thickTop="1" thickBot="1">
      <c r="A8" s="107" t="s">
        <v>501</v>
      </c>
      <c r="B8" s="103"/>
      <c r="C8" s="109" t="s">
        <v>502</v>
      </c>
      <c r="D8" s="110"/>
      <c r="E8" s="111"/>
      <c r="F8" s="112"/>
      <c r="G8" s="108" t="s">
        <v>503</v>
      </c>
      <c r="H8" s="113" t="s">
        <v>504</v>
      </c>
      <c r="I8" s="114"/>
      <c r="J8" s="107"/>
      <c r="K8" s="102"/>
      <c r="L8" s="39">
        <f t="shared" si="3"/>
        <v>32</v>
      </c>
      <c r="M8" s="39">
        <v>0</v>
      </c>
      <c r="N8" s="39">
        <v>32</v>
      </c>
      <c r="O8" s="39">
        <f>C56</f>
        <v>0.25</v>
      </c>
      <c r="P8" s="39">
        <f>E56</f>
        <v>0.1</v>
      </c>
      <c r="Q8" s="39">
        <f>MIN(1,G56+$G$43)</f>
        <v>0.3</v>
      </c>
      <c r="R8" s="39">
        <f>I56</f>
        <v>2</v>
      </c>
      <c r="S8" s="28"/>
      <c r="T8" s="29"/>
      <c r="U8" s="29" t="s">
        <v>39</v>
      </c>
      <c r="V8" s="29"/>
      <c r="W8" s="30" t="s">
        <v>40</v>
      </c>
      <c r="X8" s="30">
        <v>4.0255319148936204</v>
      </c>
      <c r="Y8" s="30">
        <v>0.50700000000000001</v>
      </c>
      <c r="Z8" s="30">
        <f>2.35*$L$15</f>
        <v>2350</v>
      </c>
      <c r="AA8" s="30">
        <f>52.4230417555623*$L$9</f>
        <v>171.99160680958744</v>
      </c>
      <c r="AB8" s="30">
        <f t="shared" si="0"/>
        <v>1.0042737647736126</v>
      </c>
      <c r="AC8" s="30">
        <f t="shared" si="1"/>
        <v>0.36518518518518517</v>
      </c>
      <c r="AD8" s="30">
        <f t="shared" si="2"/>
        <v>9.460000000000008</v>
      </c>
      <c r="AE8" s="31" t="s">
        <v>41</v>
      </c>
      <c r="AF8" s="32"/>
      <c r="AG8" s="32"/>
      <c r="AH8" s="32"/>
      <c r="AI8" s="32"/>
      <c r="AJ8" s="32"/>
      <c r="AK8" s="32"/>
      <c r="AL8" s="32"/>
      <c r="AM8" s="33"/>
      <c r="AN8" s="34"/>
      <c r="AO8" s="34">
        <f t="shared" si="4"/>
        <v>0</v>
      </c>
      <c r="AP8" s="34"/>
      <c r="AQ8" s="34">
        <f t="shared" si="5"/>
        <v>0</v>
      </c>
      <c r="AR8" s="34"/>
      <c r="AS8" s="34"/>
      <c r="AT8" s="34"/>
      <c r="AU8" s="34"/>
      <c r="AV8" s="34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</row>
    <row r="9" spans="1:124" ht="14.25" thickTop="1" thickBot="1">
      <c r="A9" s="121"/>
      <c r="B9" s="115"/>
      <c r="C9" s="116"/>
      <c r="D9" s="116"/>
      <c r="E9" s="116"/>
      <c r="F9" s="115"/>
      <c r="G9" s="115"/>
      <c r="H9" s="115"/>
      <c r="I9" s="116"/>
      <c r="J9" s="116"/>
      <c r="K9" s="102"/>
      <c r="L9" s="39">
        <f t="shared" si="3"/>
        <v>3.2808398950131199</v>
      </c>
      <c r="M9" s="39">
        <v>1</v>
      </c>
      <c r="N9" s="39">
        <v>3.2808398950131199</v>
      </c>
      <c r="O9" s="39">
        <v>0</v>
      </c>
      <c r="P9" s="39" t="s">
        <v>42</v>
      </c>
      <c r="Q9" s="39">
        <v>99999</v>
      </c>
      <c r="R9" s="39" t="s">
        <v>43</v>
      </c>
      <c r="S9" s="28"/>
      <c r="T9" s="29" t="s">
        <v>44</v>
      </c>
      <c r="U9" s="29" t="s">
        <v>45</v>
      </c>
      <c r="V9" s="29"/>
      <c r="W9" s="30" t="s">
        <v>46</v>
      </c>
      <c r="X9" s="30">
        <v>2.3992932862190801</v>
      </c>
      <c r="Y9" s="30">
        <v>0.16500000000000001</v>
      </c>
      <c r="Z9" s="30">
        <f>2.83*$L$15</f>
        <v>2830</v>
      </c>
      <c r="AA9" s="30">
        <f>47.2416946053033*$L$9</f>
        <v>154.99243636910515</v>
      </c>
      <c r="AB9" s="30">
        <f t="shared" si="0"/>
        <v>0.76917106773058308</v>
      </c>
      <c r="AC9" s="30">
        <f t="shared" si="1"/>
        <v>0.45628415300546449</v>
      </c>
      <c r="AD9" s="30">
        <f t="shared" si="2"/>
        <v>6.7899999999999965</v>
      </c>
      <c r="AE9" s="31" t="s">
        <v>47</v>
      </c>
      <c r="AF9" s="32"/>
      <c r="AG9" s="32"/>
      <c r="AH9" s="32"/>
      <c r="AI9" s="32"/>
      <c r="AJ9" s="32"/>
      <c r="AK9" s="32"/>
      <c r="AL9" s="32"/>
      <c r="AM9" s="33"/>
      <c r="AN9" s="34"/>
      <c r="AO9" s="34">
        <f t="shared" si="4"/>
        <v>0</v>
      </c>
      <c r="AP9" s="34"/>
      <c r="AQ9" s="34">
        <f t="shared" si="5"/>
        <v>0</v>
      </c>
      <c r="AR9" s="34"/>
      <c r="AS9" s="34"/>
      <c r="AT9" s="34"/>
      <c r="AU9" s="34"/>
      <c r="AV9" s="34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</row>
    <row r="10" spans="1:124" ht="14.25" thickTop="1" thickBot="1">
      <c r="A10" s="121"/>
      <c r="B10" s="115"/>
      <c r="C10" s="115"/>
      <c r="D10" s="115"/>
      <c r="E10" s="115"/>
      <c r="F10" s="115"/>
      <c r="G10" s="115"/>
      <c r="H10" s="115"/>
      <c r="I10" s="116"/>
      <c r="J10" s="116"/>
      <c r="K10" s="102"/>
      <c r="L10" s="39">
        <f t="shared" si="3"/>
        <v>0.30480000000000002</v>
      </c>
      <c r="M10" s="39">
        <v>1</v>
      </c>
      <c r="N10" s="39">
        <v>0.30480000000000002</v>
      </c>
      <c r="O10" s="39">
        <v>73</v>
      </c>
      <c r="P10" s="39" t="s">
        <v>48</v>
      </c>
      <c r="Q10" s="39"/>
      <c r="R10" s="39"/>
      <c r="S10" s="28"/>
      <c r="T10" s="29"/>
      <c r="U10" s="29" t="s">
        <v>49</v>
      </c>
      <c r="V10" s="29"/>
      <c r="W10" s="30" t="s">
        <v>50</v>
      </c>
      <c r="X10" s="30">
        <v>8.6031250000000004</v>
      </c>
      <c r="Y10" s="30">
        <v>0.22500000000000001</v>
      </c>
      <c r="Z10" s="30">
        <f>3.2*$L$15</f>
        <v>3200</v>
      </c>
      <c r="AA10" s="30">
        <f>55.4708930204206*$L$9</f>
        <v>181.99111883340072</v>
      </c>
      <c r="AB10" s="30">
        <f t="shared" si="0"/>
        <v>0.60240503172536108</v>
      </c>
      <c r="AC10" s="30">
        <f t="shared" si="1"/>
        <v>0.35227272727272729</v>
      </c>
      <c r="AD10" s="30">
        <f t="shared" si="2"/>
        <v>27.53</v>
      </c>
      <c r="AE10" s="31" t="s">
        <v>51</v>
      </c>
      <c r="AF10" s="32"/>
      <c r="AG10" s="32"/>
      <c r="AH10" s="32"/>
      <c r="AI10" s="32"/>
      <c r="AJ10" s="32"/>
      <c r="AK10" s="32"/>
      <c r="AL10" s="32"/>
      <c r="AM10" s="33"/>
      <c r="AN10" s="34"/>
      <c r="AO10" s="34">
        <f t="shared" si="4"/>
        <v>0</v>
      </c>
      <c r="AP10" s="34"/>
      <c r="AQ10" s="34">
        <f t="shared" si="5"/>
        <v>0</v>
      </c>
      <c r="AR10" s="34"/>
      <c r="AS10" s="34"/>
      <c r="AT10" s="34"/>
      <c r="AU10" s="34"/>
      <c r="AV10" s="34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</row>
    <row r="11" spans="1:124" ht="14.25" thickTop="1" thickBot="1">
      <c r="A11" s="121"/>
      <c r="B11" s="115"/>
      <c r="C11" s="115"/>
      <c r="D11" s="115"/>
      <c r="E11" s="115"/>
      <c r="F11" s="115"/>
      <c r="G11" s="115"/>
      <c r="H11" s="115"/>
      <c r="I11" s="116"/>
      <c r="J11" s="94"/>
      <c r="K11" s="102"/>
      <c r="L11" s="39">
        <f t="shared" si="3"/>
        <v>2650</v>
      </c>
      <c r="M11" s="39">
        <v>2.65</v>
      </c>
      <c r="N11" s="39">
        <v>2650</v>
      </c>
      <c r="O11" s="39"/>
      <c r="P11" s="39"/>
      <c r="Q11" s="39"/>
      <c r="R11" s="39"/>
      <c r="S11" s="28"/>
      <c r="T11" s="29" t="s">
        <v>55</v>
      </c>
      <c r="U11" s="29" t="s">
        <v>56</v>
      </c>
      <c r="V11" s="29"/>
      <c r="W11" s="30" t="s">
        <v>57</v>
      </c>
      <c r="X11" s="30">
        <v>1.48484848484848</v>
      </c>
      <c r="Y11" s="30">
        <v>0.49099999999999999</v>
      </c>
      <c r="Z11" s="30">
        <f>2.64*$L$15</f>
        <v>2640</v>
      </c>
      <c r="AA11" s="30">
        <f>64.3096616885096*$L$9</f>
        <v>210.98970370245911</v>
      </c>
      <c r="AB11" s="30">
        <f t="shared" si="0"/>
        <v>0.75420937994811221</v>
      </c>
      <c r="AC11" s="30">
        <f t="shared" si="1"/>
        <v>0.31036585365853658</v>
      </c>
      <c r="AD11" s="30">
        <f t="shared" si="2"/>
        <v>3.9199999999999871</v>
      </c>
      <c r="AE11" s="31" t="s">
        <v>58</v>
      </c>
      <c r="AF11" s="32"/>
      <c r="AG11" s="32"/>
      <c r="AH11" s="32"/>
      <c r="AI11" s="32"/>
      <c r="AJ11" s="32"/>
      <c r="AK11" s="32"/>
      <c r="AL11" s="32"/>
      <c r="AM11" s="33"/>
      <c r="AN11" s="34"/>
      <c r="AO11" s="34"/>
      <c r="AP11" s="34"/>
      <c r="AQ11" s="34"/>
      <c r="AR11" s="34"/>
      <c r="AS11" s="34"/>
      <c r="AT11" s="34"/>
      <c r="AU11" s="34"/>
      <c r="AV11" s="34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</row>
    <row r="12" spans="1:124" ht="14.25" thickTop="1" thickBot="1">
      <c r="A12" s="122"/>
      <c r="B12" s="32"/>
      <c r="C12" s="140"/>
      <c r="D12" s="140"/>
      <c r="E12" s="140"/>
      <c r="F12" s="140"/>
      <c r="G12" s="140"/>
      <c r="H12" s="140"/>
      <c r="I12" s="32"/>
      <c r="J12" s="32"/>
      <c r="K12" s="38"/>
      <c r="L12" s="39">
        <f t="shared" si="3"/>
        <v>2710</v>
      </c>
      <c r="M12" s="39">
        <v>2.71</v>
      </c>
      <c r="N12" s="39">
        <v>2710</v>
      </c>
      <c r="O12" s="39"/>
      <c r="P12" s="39"/>
      <c r="Q12" s="39"/>
      <c r="R12" s="39"/>
      <c r="S12" s="28"/>
      <c r="T12" s="29"/>
      <c r="U12" s="29" t="s">
        <v>59</v>
      </c>
      <c r="V12" s="29"/>
      <c r="W12" s="30" t="s">
        <v>60</v>
      </c>
      <c r="X12" s="30">
        <v>4.7809187279151901</v>
      </c>
      <c r="Y12" s="30">
        <v>0.17499999999999999</v>
      </c>
      <c r="Z12" s="30">
        <f>2.83*$L$15</f>
        <v>2830</v>
      </c>
      <c r="AA12" s="30">
        <f>55.4708930204206*$L$9</f>
        <v>181.99111883340072</v>
      </c>
      <c r="AB12" s="30">
        <f t="shared" si="0"/>
        <v>0.7242027703802153</v>
      </c>
      <c r="AC12" s="30">
        <f t="shared" si="1"/>
        <v>0.45081967213114754</v>
      </c>
      <c r="AD12" s="30">
        <f t="shared" si="2"/>
        <v>13.529999999999987</v>
      </c>
      <c r="AE12" s="41" t="s">
        <v>61</v>
      </c>
      <c r="AF12" s="42"/>
      <c r="AG12" s="42"/>
      <c r="AH12" s="42"/>
      <c r="AI12" s="42"/>
      <c r="AJ12" s="42"/>
      <c r="AK12" s="42"/>
      <c r="AL12" s="42"/>
      <c r="AM12" s="43"/>
      <c r="AN12" s="34"/>
      <c r="AO12" s="34">
        <f>G6</f>
        <v>0</v>
      </c>
      <c r="AP12" s="34"/>
      <c r="AQ12" s="34">
        <f>H6</f>
        <v>0</v>
      </c>
      <c r="AR12" s="34"/>
      <c r="AS12" s="34"/>
      <c r="AT12" s="34"/>
      <c r="AU12" s="34"/>
      <c r="AV12" s="34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</row>
    <row r="13" spans="1:124" ht="14.25" thickTop="1" thickBot="1">
      <c r="A13" s="134" t="s">
        <v>495</v>
      </c>
      <c r="B13" s="135"/>
      <c r="C13" s="138"/>
      <c r="D13" s="139"/>
      <c r="E13" s="139"/>
      <c r="F13" s="139"/>
      <c r="G13" s="139"/>
      <c r="H13" s="139"/>
      <c r="I13" s="27"/>
      <c r="J13" s="27"/>
      <c r="K13" s="38"/>
      <c r="L13" s="39">
        <f t="shared" si="3"/>
        <v>1</v>
      </c>
      <c r="M13" s="39">
        <v>0.159</v>
      </c>
      <c r="N13" s="39">
        <v>1</v>
      </c>
      <c r="O13" s="39" t="s">
        <v>62</v>
      </c>
      <c r="P13" s="39"/>
      <c r="Q13" s="39"/>
      <c r="R13" s="39"/>
      <c r="S13" s="28"/>
      <c r="T13" s="29"/>
      <c r="U13" s="29" t="s">
        <v>63</v>
      </c>
      <c r="V13" s="29"/>
      <c r="W13" s="30" t="s">
        <v>64</v>
      </c>
      <c r="X13" s="30">
        <v>3.02166064981949</v>
      </c>
      <c r="Y13" s="30">
        <v>0.158</v>
      </c>
      <c r="Z13" s="30">
        <f>2.77*$L$15</f>
        <v>2770</v>
      </c>
      <c r="AA13" s="30">
        <f>64.6144468149954*$L$9</f>
        <v>211.98965490484034</v>
      </c>
      <c r="AB13" s="30">
        <f t="shared" si="0"/>
        <v>0.69709352081923504</v>
      </c>
      <c r="AC13" s="30">
        <f t="shared" si="1"/>
        <v>0.47570621468926549</v>
      </c>
      <c r="AD13" s="30">
        <f t="shared" si="2"/>
        <v>8.3699999999999868</v>
      </c>
      <c r="AE13" s="44" t="s">
        <v>65</v>
      </c>
      <c r="AF13" s="45"/>
      <c r="AG13" s="45"/>
      <c r="AH13" s="45"/>
      <c r="AI13" s="45"/>
      <c r="AJ13" s="45"/>
      <c r="AK13" s="45"/>
      <c r="AL13" s="45"/>
      <c r="AM13" s="43"/>
      <c r="AN13" s="34"/>
      <c r="AO13" s="34" t="str">
        <f>G7</f>
        <v xml:space="preserve">Analyst  </v>
      </c>
      <c r="AP13" s="34"/>
      <c r="AQ13" s="34" t="str">
        <f>H7</f>
        <v>E. R. Crain, P.Eng.</v>
      </c>
      <c r="AR13" s="34">
        <f>I7</f>
        <v>0</v>
      </c>
      <c r="AS13" s="34"/>
      <c r="AT13" s="34"/>
      <c r="AU13" s="34"/>
      <c r="AV13" s="34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</row>
    <row r="14" spans="1:124" ht="14.25" thickTop="1" thickBot="1">
      <c r="A14" s="122" t="s">
        <v>52</v>
      </c>
      <c r="D14" s="26"/>
      <c r="E14" s="26"/>
      <c r="F14" s="26"/>
      <c r="G14" s="26"/>
      <c r="H14" s="26"/>
      <c r="I14" s="26"/>
      <c r="J14" s="26"/>
      <c r="K14" s="38"/>
      <c r="L14" s="39">
        <f t="shared" si="3"/>
        <v>1</v>
      </c>
      <c r="M14" s="39">
        <v>2.8299999999999999E-2</v>
      </c>
      <c r="N14" s="39">
        <v>1</v>
      </c>
      <c r="O14" s="39"/>
      <c r="P14" s="39"/>
      <c r="Q14" s="39"/>
      <c r="R14" s="39"/>
      <c r="S14" s="28"/>
      <c r="T14" s="29"/>
      <c r="U14" s="29" t="s">
        <v>66</v>
      </c>
      <c r="V14" s="29"/>
      <c r="W14" s="30" t="s">
        <v>67</v>
      </c>
      <c r="X14" s="30">
        <v>4.7735191637630701</v>
      </c>
      <c r="Y14" s="30">
        <v>0.42799999999999999</v>
      </c>
      <c r="Z14" s="30">
        <f>2.87*$L$15</f>
        <v>2870</v>
      </c>
      <c r="AA14" s="30">
        <f>64.6144468149954*$L$9</f>
        <v>211.98965490484034</v>
      </c>
      <c r="AB14" s="30">
        <f t="shared" si="0"/>
        <v>0.65981579243317967</v>
      </c>
      <c r="AC14" s="30">
        <f t="shared" si="1"/>
        <v>0.30588235294117649</v>
      </c>
      <c r="AD14" s="30">
        <f t="shared" si="2"/>
        <v>13.700000000000012</v>
      </c>
      <c r="AE14" s="44" t="s">
        <v>68</v>
      </c>
      <c r="AF14" s="45"/>
      <c r="AG14" s="45"/>
      <c r="AH14" s="45"/>
      <c r="AI14" s="45"/>
      <c r="AJ14" s="45"/>
      <c r="AK14" s="45"/>
      <c r="AL14" s="45"/>
      <c r="AM14" s="43"/>
      <c r="AN14" s="34"/>
      <c r="AO14" s="34" t="str">
        <f>G8</f>
        <v xml:space="preserve">Date  </v>
      </c>
      <c r="AP14" s="34"/>
      <c r="AQ14" s="34" t="str">
        <f>H8</f>
        <v xml:space="preserve"> 2018-09-27</v>
      </c>
      <c r="AR14" s="34"/>
      <c r="AS14" s="34"/>
      <c r="AT14" s="34"/>
      <c r="AU14" s="34"/>
      <c r="AV14" s="34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</row>
    <row r="15" spans="1:124" ht="14.25" thickTop="1" thickBot="1">
      <c r="A15" s="124" t="s">
        <v>53</v>
      </c>
      <c r="B15" s="46" t="s">
        <v>69</v>
      </c>
      <c r="C15" s="46" t="s">
        <v>70</v>
      </c>
      <c r="D15" s="46" t="s">
        <v>71</v>
      </c>
      <c r="E15" s="46" t="s">
        <v>487</v>
      </c>
      <c r="F15" s="46" t="s">
        <v>72</v>
      </c>
      <c r="G15" s="46" t="s">
        <v>73</v>
      </c>
      <c r="H15" s="46" t="s">
        <v>74</v>
      </c>
      <c r="I15" s="32"/>
      <c r="J15" s="32"/>
      <c r="K15" s="38"/>
      <c r="L15" s="39">
        <f t="shared" si="3"/>
        <v>1000</v>
      </c>
      <c r="M15" s="39">
        <v>1</v>
      </c>
      <c r="N15" s="39">
        <v>1000</v>
      </c>
      <c r="O15" s="39"/>
      <c r="P15" s="39"/>
      <c r="Q15" s="39"/>
      <c r="R15" s="39"/>
      <c r="S15" s="28"/>
      <c r="T15" s="29"/>
      <c r="U15" s="29" t="s">
        <v>75</v>
      </c>
      <c r="V15" s="29"/>
      <c r="W15" s="30" t="s">
        <v>76</v>
      </c>
      <c r="X15" s="30">
        <v>1.63740458015267</v>
      </c>
      <c r="Y15" s="30">
        <v>0.115</v>
      </c>
      <c r="Z15" s="30">
        <f>2.62*$L$15</f>
        <v>2620</v>
      </c>
      <c r="AA15" s="30">
        <f>64.6144468149954*$L$9</f>
        <v>211.98965490484034</v>
      </c>
      <c r="AB15" s="30">
        <f t="shared" si="0"/>
        <v>0.76163921719138639</v>
      </c>
      <c r="AC15" s="30">
        <f t="shared" si="1"/>
        <v>0.54629629629629639</v>
      </c>
      <c r="AD15" s="30">
        <f t="shared" si="2"/>
        <v>4.2899999999999956</v>
      </c>
      <c r="AE15" s="47"/>
      <c r="AF15" s="48"/>
      <c r="AG15" s="48"/>
      <c r="AH15" s="48"/>
      <c r="AI15" s="48"/>
      <c r="AJ15" s="48"/>
      <c r="AK15" s="48"/>
      <c r="AL15" s="48"/>
      <c r="AM15" s="33"/>
      <c r="AN15" s="34"/>
      <c r="AO15" s="34"/>
      <c r="AP15" s="34"/>
      <c r="AQ15" s="34">
        <f>H9</f>
        <v>0</v>
      </c>
      <c r="AR15" s="34"/>
      <c r="AS15" s="34"/>
      <c r="AT15" s="34"/>
      <c r="AU15" s="34"/>
      <c r="AV15" s="34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</row>
    <row r="16" spans="1:124" ht="14.25" thickTop="1" thickBot="1">
      <c r="A16" s="125" t="s">
        <v>54</v>
      </c>
      <c r="B16" s="46" t="s">
        <v>77</v>
      </c>
      <c r="C16" s="46" t="s">
        <v>23</v>
      </c>
      <c r="D16" s="32" t="str">
        <f>"      "&amp;$L$28</f>
        <v xml:space="preserve">      Kg/m3</v>
      </c>
      <c r="E16" s="32" t="str">
        <f>"        "&amp;$L$25</f>
        <v xml:space="preserve">        us/m</v>
      </c>
      <c r="F16" s="46" t="s">
        <v>78</v>
      </c>
      <c r="G16" s="46" t="s">
        <v>79</v>
      </c>
      <c r="H16" s="46" t="s">
        <v>80</v>
      </c>
      <c r="I16" s="32"/>
      <c r="J16" s="32"/>
      <c r="K16" s="38"/>
      <c r="L16" s="39">
        <f t="shared" si="3"/>
        <v>2149</v>
      </c>
      <c r="M16" s="39">
        <v>162.6</v>
      </c>
      <c r="N16" s="39">
        <v>2149</v>
      </c>
      <c r="O16" s="39"/>
      <c r="P16" s="39"/>
      <c r="Q16" s="39"/>
      <c r="R16" s="39"/>
      <c r="S16" s="28"/>
      <c r="T16" s="29"/>
      <c r="U16" s="29" t="s">
        <v>81</v>
      </c>
      <c r="V16" s="29"/>
      <c r="W16" s="30" t="s">
        <v>82</v>
      </c>
      <c r="X16" s="30">
        <v>261.02941176470603</v>
      </c>
      <c r="Y16" s="30">
        <v>2E-3</v>
      </c>
      <c r="Z16" s="30">
        <f>4.08*$L$15</f>
        <v>4080</v>
      </c>
      <c r="AA16" s="30">
        <f>69.7957939652545*$L$9</f>
        <v>228.98882534532294</v>
      </c>
      <c r="AB16" s="30">
        <f t="shared" si="0"/>
        <v>0.38377988972319971</v>
      </c>
      <c r="AC16" s="30">
        <f t="shared" si="1"/>
        <v>0.324025974025974</v>
      </c>
      <c r="AD16" s="30">
        <f t="shared" si="2"/>
        <v>1065.0000000000007</v>
      </c>
      <c r="AE16" s="31" t="s">
        <v>83</v>
      </c>
      <c r="AF16" s="32"/>
      <c r="AG16" s="32"/>
      <c r="AH16" s="32"/>
      <c r="AI16" s="32"/>
      <c r="AJ16" s="32"/>
      <c r="AK16" s="32"/>
      <c r="AL16" s="32"/>
      <c r="AM16" s="33"/>
      <c r="AN16" s="34"/>
      <c r="AO16" s="34"/>
      <c r="AP16" s="34"/>
      <c r="AQ16" s="34"/>
      <c r="AR16" s="34"/>
      <c r="AS16" s="34"/>
      <c r="AT16" s="34"/>
      <c r="AU16" s="34"/>
      <c r="AV16" s="34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</row>
    <row r="17" spans="1:124" ht="14.25" thickTop="1" thickBot="1">
      <c r="A17" s="126"/>
      <c r="B17" s="46"/>
      <c r="C17" s="46"/>
      <c r="D17" s="32"/>
      <c r="E17" s="32"/>
      <c r="F17" s="46"/>
      <c r="G17" s="46"/>
      <c r="H17" s="46"/>
      <c r="I17" s="32"/>
      <c r="J17" s="32"/>
      <c r="K17" s="38"/>
      <c r="L17" s="39">
        <f t="shared" si="3"/>
        <v>2.149</v>
      </c>
      <c r="M17" s="39">
        <v>162.6</v>
      </c>
      <c r="N17" s="39">
        <v>2.149</v>
      </c>
      <c r="O17" s="39"/>
      <c r="P17" s="39"/>
      <c r="Q17" s="39"/>
      <c r="R17" s="39"/>
      <c r="S17" s="28"/>
      <c r="T17" s="29" t="s">
        <v>84</v>
      </c>
      <c r="U17" s="29" t="s">
        <v>85</v>
      </c>
      <c r="V17" s="29"/>
      <c r="W17" s="30" t="s">
        <v>86</v>
      </c>
      <c r="X17" s="30">
        <v>1.68604651162791</v>
      </c>
      <c r="Y17" s="30">
        <v>-1.2999999999999999E-2</v>
      </c>
      <c r="Z17" s="30">
        <f>2.58*$L$15</f>
        <v>2580</v>
      </c>
      <c r="AA17" s="30">
        <f>47.2416946053033*$L$9</f>
        <v>154.99243636910515</v>
      </c>
      <c r="AB17" s="30">
        <f t="shared" si="0"/>
        <v>0.89087535059934642</v>
      </c>
      <c r="AC17" s="30">
        <f t="shared" si="1"/>
        <v>0.64113924050632898</v>
      </c>
      <c r="AD17" s="30">
        <f t="shared" si="2"/>
        <v>4.3500000000000076</v>
      </c>
      <c r="AE17" s="31" t="s">
        <v>87</v>
      </c>
      <c r="AF17" s="32"/>
      <c r="AG17" s="32"/>
      <c r="AH17" s="32"/>
      <c r="AI17" s="32"/>
      <c r="AJ17" s="32"/>
      <c r="AK17" s="32"/>
      <c r="AL17" s="32"/>
      <c r="AM17" s="33"/>
      <c r="AN17" s="34"/>
      <c r="AO17" s="34"/>
      <c r="AP17" s="34"/>
      <c r="AQ17" s="34"/>
      <c r="AR17" s="34"/>
      <c r="AS17" s="34"/>
      <c r="AT17" s="34"/>
      <c r="AU17" s="34"/>
      <c r="AV17" s="34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</row>
    <row r="18" spans="1:124" ht="14.25" thickTop="1" thickBot="1">
      <c r="A18" s="126" t="s">
        <v>88</v>
      </c>
      <c r="B18" s="46" t="s">
        <v>89</v>
      </c>
      <c r="C18" s="46" t="s">
        <v>90</v>
      </c>
      <c r="D18" s="46" t="s">
        <v>91</v>
      </c>
      <c r="E18" s="46" t="s">
        <v>488</v>
      </c>
      <c r="F18" s="46" t="s">
        <v>92</v>
      </c>
      <c r="G18" s="46" t="s">
        <v>93</v>
      </c>
      <c r="H18" s="32"/>
      <c r="I18" s="32"/>
      <c r="J18" s="32"/>
      <c r="K18" s="38"/>
      <c r="L18" s="39">
        <f t="shared" si="3"/>
        <v>273</v>
      </c>
      <c r="M18" s="39">
        <v>460</v>
      </c>
      <c r="N18" s="39">
        <v>273</v>
      </c>
      <c r="O18" s="39"/>
      <c r="P18" s="39"/>
      <c r="Q18" s="39"/>
      <c r="R18" s="39"/>
      <c r="S18" s="28"/>
      <c r="T18" s="29"/>
      <c r="U18" s="29" t="s">
        <v>94</v>
      </c>
      <c r="V18" s="29"/>
      <c r="W18" s="30" t="s">
        <v>95</v>
      </c>
      <c r="X18" s="30">
        <v>3.1277372262773699</v>
      </c>
      <c r="Y18" s="30">
        <v>-1.7999999999999999E-2</v>
      </c>
      <c r="Z18" s="30">
        <f>2.74*$L$15</f>
        <v>2740</v>
      </c>
      <c r="AA18" s="30">
        <f>45.1081987199025*$L$9</f>
        <v>147.99277795243586</v>
      </c>
      <c r="AB18" s="30">
        <f t="shared" si="0"/>
        <v>0.82121724873619262</v>
      </c>
      <c r="AC18" s="30">
        <f t="shared" si="1"/>
        <v>0.5850574712643678</v>
      </c>
      <c r="AD18" s="30">
        <f t="shared" si="2"/>
        <v>8.569999999999995</v>
      </c>
      <c r="AE18" s="31"/>
      <c r="AF18" s="32"/>
      <c r="AG18" s="32"/>
      <c r="AH18" s="32"/>
      <c r="AI18" s="32"/>
      <c r="AJ18" s="32"/>
      <c r="AK18" s="32"/>
      <c r="AL18" s="32"/>
      <c r="AM18" s="33"/>
      <c r="AN18" s="34"/>
      <c r="AO18" s="34"/>
      <c r="AP18" s="34"/>
      <c r="AQ18" s="34"/>
      <c r="AR18" s="34"/>
      <c r="AS18" s="34"/>
      <c r="AT18" s="34"/>
      <c r="AU18" s="34"/>
      <c r="AV18" s="34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</row>
    <row r="19" spans="1:124" ht="14.25" thickTop="1" thickBot="1">
      <c r="A19" s="122"/>
      <c r="B19" s="30">
        <v>200</v>
      </c>
      <c r="C19" s="30">
        <f>$C$31</f>
        <v>-2.8000000000000001E-2</v>
      </c>
      <c r="D19" s="30">
        <f>2.65*$L$15</f>
        <v>2650</v>
      </c>
      <c r="E19" s="30">
        <f>55.5*$L$9</f>
        <v>182.08661417322816</v>
      </c>
      <c r="F19" s="28" t="s">
        <v>96</v>
      </c>
      <c r="G19" s="30">
        <v>-50</v>
      </c>
      <c r="H19" s="31"/>
      <c r="I19" s="32"/>
      <c r="J19" s="32"/>
      <c r="K19" s="38"/>
      <c r="L19" s="39">
        <f t="shared" si="3"/>
        <v>5.354E-4</v>
      </c>
      <c r="M19" s="39">
        <v>7.0800000000000004E-3</v>
      </c>
      <c r="N19" s="39">
        <v>5.354E-4</v>
      </c>
      <c r="O19" s="39"/>
      <c r="P19" s="39"/>
      <c r="Q19" s="39"/>
      <c r="R19" s="39"/>
      <c r="S19" s="28"/>
      <c r="T19" s="29" t="s">
        <v>97</v>
      </c>
      <c r="U19" s="29" t="s">
        <v>98</v>
      </c>
      <c r="V19" s="29"/>
      <c r="W19" s="30" t="s">
        <v>99</v>
      </c>
      <c r="X19" s="30">
        <v>2.8700787401574801</v>
      </c>
      <c r="Y19" s="30">
        <v>-1.0999999999999999E-2</v>
      </c>
      <c r="Z19" s="30">
        <f>2.54*$L$15</f>
        <v>2540</v>
      </c>
      <c r="AA19" s="30">
        <f>68.881438585797*$L$9</f>
        <v>225.98897173817889</v>
      </c>
      <c r="AB19" s="30">
        <f t="shared" si="0"/>
        <v>0.77349715204027936</v>
      </c>
      <c r="AC19" s="30">
        <f t="shared" si="1"/>
        <v>0.65649350649350635</v>
      </c>
      <c r="AD19" s="30">
        <f t="shared" si="2"/>
        <v>7.2899999999999991</v>
      </c>
      <c r="AE19" s="25"/>
      <c r="AF19" s="26"/>
      <c r="AG19" s="26"/>
      <c r="AH19" s="26"/>
      <c r="AI19" s="26"/>
      <c r="AJ19" s="26"/>
      <c r="AK19" s="26"/>
      <c r="AL19" s="26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</row>
    <row r="20" spans="1:124" ht="14.25" thickTop="1" thickBot="1">
      <c r="A20" s="122"/>
      <c r="B20" s="26"/>
      <c r="C20" s="26"/>
      <c r="D20" s="26"/>
      <c r="E20" s="26"/>
      <c r="F20" s="32"/>
      <c r="G20" s="26"/>
      <c r="H20" s="32"/>
      <c r="I20" s="32"/>
      <c r="J20" s="32"/>
      <c r="K20" s="38"/>
      <c r="L20" s="39">
        <f t="shared" si="3"/>
        <v>1.3089999999999999</v>
      </c>
      <c r="M20" s="39">
        <v>1424</v>
      </c>
      <c r="N20" s="39">
        <v>1.3089999999999999</v>
      </c>
      <c r="O20" s="39"/>
      <c r="P20" s="39"/>
      <c r="Q20" s="39"/>
      <c r="R20" s="39"/>
      <c r="S20" s="28"/>
      <c r="T20" s="29" t="s">
        <v>100</v>
      </c>
      <c r="U20" s="29" t="s">
        <v>101</v>
      </c>
      <c r="V20" s="29"/>
      <c r="W20" s="30" t="s">
        <v>102</v>
      </c>
      <c r="X20" s="30">
        <v>14.3734015345269</v>
      </c>
      <c r="Y20" s="30">
        <v>0.129</v>
      </c>
      <c r="Z20" s="30">
        <f>3.91*$L$15</f>
        <v>3910</v>
      </c>
      <c r="AA20" s="30">
        <f>43.8890582139592*$L$9</f>
        <v>143.99297314291061</v>
      </c>
      <c r="AB20" s="30">
        <f t="shared" si="0"/>
        <v>0.49522660407574165</v>
      </c>
      <c r="AC20" s="30">
        <f t="shared" si="1"/>
        <v>0.29931271477663229</v>
      </c>
      <c r="AD20" s="30">
        <f t="shared" si="2"/>
        <v>56.20000000000018</v>
      </c>
      <c r="AE20" s="49"/>
      <c r="AF20" s="50"/>
      <c r="AG20" s="50"/>
      <c r="AH20" s="50"/>
      <c r="AI20" s="50"/>
      <c r="AJ20" s="50"/>
      <c r="AK20" s="50"/>
      <c r="AL20" s="50"/>
      <c r="AM20" s="33"/>
      <c r="AN20" s="34"/>
      <c r="AO20" s="34"/>
      <c r="AP20" s="34"/>
      <c r="AQ20" s="34"/>
      <c r="AR20" s="34"/>
      <c r="AS20" s="34"/>
      <c r="AT20" s="34"/>
      <c r="AU20" s="34"/>
      <c r="AV20" s="34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</row>
    <row r="21" spans="1:124" ht="14.25" thickTop="1" thickBot="1">
      <c r="A21" s="126" t="s">
        <v>103</v>
      </c>
      <c r="B21" s="46" t="s">
        <v>104</v>
      </c>
      <c r="C21" s="46" t="s">
        <v>105</v>
      </c>
      <c r="D21" s="46" t="s">
        <v>106</v>
      </c>
      <c r="E21" s="46" t="s">
        <v>489</v>
      </c>
      <c r="F21" s="46" t="s">
        <v>107</v>
      </c>
      <c r="G21" s="46" t="s">
        <v>108</v>
      </c>
      <c r="H21" s="46" t="s">
        <v>109</v>
      </c>
      <c r="I21" s="32"/>
      <c r="J21" s="32"/>
      <c r="K21" s="38" t="s">
        <v>110</v>
      </c>
      <c r="L21" s="39">
        <f t="shared" si="3"/>
        <v>1.508</v>
      </c>
      <c r="M21" s="39">
        <v>1637</v>
      </c>
      <c r="N21" s="39">
        <v>1.508</v>
      </c>
      <c r="O21" s="39"/>
      <c r="P21" s="39"/>
      <c r="Q21" s="39"/>
      <c r="R21" s="39"/>
      <c r="S21" s="28"/>
      <c r="T21" s="29"/>
      <c r="U21" s="29" t="s">
        <v>111</v>
      </c>
      <c r="V21" s="29"/>
      <c r="W21" s="30" t="s">
        <v>112</v>
      </c>
      <c r="X21" s="30">
        <v>8.37662337662338</v>
      </c>
      <c r="Y21" s="30">
        <v>5.7000000000000002E-2</v>
      </c>
      <c r="Z21" s="30">
        <f>3.08*$L$15</f>
        <v>3080</v>
      </c>
      <c r="AA21" s="30">
        <f>45.7177689728741*$L$9</f>
        <v>149.99268035719831</v>
      </c>
      <c r="AB21" s="30">
        <f t="shared" si="0"/>
        <v>0.684049187630413</v>
      </c>
      <c r="AC21" s="30">
        <f t="shared" si="1"/>
        <v>0.45336538461538456</v>
      </c>
      <c r="AD21" s="30">
        <f t="shared" si="2"/>
        <v>25.800000000000011</v>
      </c>
      <c r="AE21" s="51" t="s">
        <v>113</v>
      </c>
      <c r="AF21" s="52"/>
      <c r="AG21" s="52"/>
      <c r="AH21" s="52"/>
      <c r="AI21" s="52"/>
      <c r="AJ21" s="52"/>
      <c r="AK21" s="52"/>
      <c r="AL21" s="52"/>
      <c r="AM21" s="33"/>
      <c r="AN21" s="34"/>
      <c r="AO21" s="34"/>
      <c r="AP21" s="34"/>
      <c r="AQ21" s="34"/>
      <c r="AR21" s="34"/>
      <c r="AS21" s="34"/>
      <c r="AT21" s="34"/>
      <c r="AU21" s="34"/>
      <c r="AV21" s="34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</row>
    <row r="22" spans="1:124" ht="14.25" thickTop="1" thickBot="1">
      <c r="A22" s="122"/>
      <c r="B22" s="30">
        <v>10</v>
      </c>
      <c r="C22" s="30">
        <v>0.2</v>
      </c>
      <c r="D22" s="40">
        <f>(D23*$L$15+(1-D23)*C39)</f>
        <v>2650</v>
      </c>
      <c r="E22" s="30">
        <f>70*$L$9</f>
        <v>229.6587926509184</v>
      </c>
      <c r="F22" s="28" t="s">
        <v>96</v>
      </c>
      <c r="G22" s="30">
        <v>0</v>
      </c>
      <c r="H22" s="30">
        <v>8.5855999999999995</v>
      </c>
      <c r="I22" s="31"/>
      <c r="J22" s="32"/>
      <c r="K22" s="38" t="s">
        <v>114</v>
      </c>
      <c r="L22" s="39">
        <f t="shared" si="3"/>
        <v>101.35</v>
      </c>
      <c r="M22" s="39">
        <v>14.65</v>
      </c>
      <c r="N22" s="39">
        <v>101.35</v>
      </c>
      <c r="O22" s="39"/>
      <c r="P22" s="39"/>
      <c r="Q22" s="39"/>
      <c r="R22" s="39"/>
      <c r="S22" s="28"/>
      <c r="T22" s="29"/>
      <c r="U22" s="29" t="s">
        <v>115</v>
      </c>
      <c r="V22" s="29"/>
      <c r="W22" s="30" t="s">
        <v>116</v>
      </c>
      <c r="X22" s="30">
        <v>16.440000000000001</v>
      </c>
      <c r="Y22" s="30">
        <v>-1.9E-2</v>
      </c>
      <c r="Z22" s="30">
        <f>5*$L$15</f>
        <v>5000</v>
      </c>
      <c r="AA22" s="30">
        <f>39.6220664431576*$L$9</f>
        <v>129.99365630957203</v>
      </c>
      <c r="AB22" s="30">
        <f t="shared" si="0"/>
        <v>0.37094483389210603</v>
      </c>
      <c r="AC22" s="30">
        <f t="shared" si="1"/>
        <v>0.25474999999999998</v>
      </c>
      <c r="AD22" s="30">
        <f t="shared" si="2"/>
        <v>82.2</v>
      </c>
      <c r="AE22" s="51"/>
      <c r="AF22" s="52"/>
      <c r="AG22" s="52"/>
      <c r="AH22" s="52"/>
      <c r="AI22" s="52"/>
      <c r="AJ22" s="52"/>
      <c r="AK22" s="52"/>
      <c r="AL22" s="52"/>
      <c r="AM22" s="33"/>
      <c r="AN22" s="34"/>
      <c r="AO22" s="34"/>
      <c r="AP22" s="34"/>
      <c r="AQ22" s="34"/>
      <c r="AR22" s="34"/>
      <c r="AS22" s="34"/>
      <c r="AT22" s="34"/>
      <c r="AU22" s="34"/>
      <c r="AV22" s="34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</row>
    <row r="23" spans="1:124" ht="14.25" thickTop="1" thickBot="1">
      <c r="A23" s="122"/>
      <c r="B23" s="26"/>
      <c r="C23" s="26" t="s">
        <v>117</v>
      </c>
      <c r="D23" s="30">
        <v>0</v>
      </c>
      <c r="E23" s="25"/>
      <c r="F23" s="32"/>
      <c r="G23" s="26"/>
      <c r="H23" s="26"/>
      <c r="I23" s="32"/>
      <c r="J23" s="32"/>
      <c r="K23" s="38" t="s">
        <v>118</v>
      </c>
      <c r="L23" s="39">
        <f t="shared" si="3"/>
        <v>175.868055555556</v>
      </c>
      <c r="M23" s="39">
        <v>4.5304645133198704</v>
      </c>
      <c r="N23" s="39">
        <v>175.868055555556</v>
      </c>
      <c r="O23" s="39"/>
      <c r="P23" s="39"/>
      <c r="Q23" s="39"/>
      <c r="R23" s="39"/>
      <c r="S23" s="28"/>
      <c r="T23" s="29" t="s">
        <v>119</v>
      </c>
      <c r="U23" s="29" t="s">
        <v>120</v>
      </c>
      <c r="V23" s="29"/>
      <c r="W23" s="30" t="s">
        <v>121</v>
      </c>
      <c r="X23" s="30">
        <v>6.6538461538461497</v>
      </c>
      <c r="Y23" s="30">
        <v>-6.0000000000000001E-3</v>
      </c>
      <c r="Z23" s="30">
        <f>3.12*$L$15</f>
        <v>3120</v>
      </c>
      <c r="AA23" s="30">
        <f>45.7177689728741*$L$9</f>
        <v>149.99268035719831</v>
      </c>
      <c r="AB23" s="30">
        <f t="shared" si="0"/>
        <v>0.6711425991845561</v>
      </c>
      <c r="AC23" s="30">
        <f t="shared" si="1"/>
        <v>0.47452830188679246</v>
      </c>
      <c r="AD23" s="30">
        <f t="shared" si="2"/>
        <v>20.759999999999984</v>
      </c>
      <c r="AE23" s="30" t="s">
        <v>122</v>
      </c>
      <c r="AF23" s="36"/>
      <c r="AG23" s="36"/>
      <c r="AH23" s="36"/>
      <c r="AI23" s="36"/>
      <c r="AJ23" s="36"/>
      <c r="AK23" s="36"/>
      <c r="AL23" s="36"/>
      <c r="AM23" s="31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</row>
    <row r="24" spans="1:124" ht="14.25" thickTop="1" thickBot="1">
      <c r="A24" s="126" t="s">
        <v>123</v>
      </c>
      <c r="B24" s="46" t="s">
        <v>124</v>
      </c>
      <c r="C24" s="46" t="s">
        <v>125</v>
      </c>
      <c r="D24" s="53" t="s">
        <v>126</v>
      </c>
      <c r="E24" s="46" t="s">
        <v>490</v>
      </c>
      <c r="F24" s="32"/>
      <c r="G24" s="32"/>
      <c r="H24" s="46" t="s">
        <v>127</v>
      </c>
      <c r="I24" s="32"/>
      <c r="J24" s="32"/>
      <c r="K24" s="38" t="s">
        <v>128</v>
      </c>
      <c r="L24" s="39" t="str">
        <f t="shared" ref="L24:L37" si="6">IF($A$15="M",N24,IF($I$51=1,K21,M24))</f>
        <v>meters</v>
      </c>
      <c r="M24" s="54" t="s">
        <v>110</v>
      </c>
      <c r="N24" s="54" t="s">
        <v>129</v>
      </c>
      <c r="O24" s="39"/>
      <c r="P24" s="39"/>
      <c r="Q24" s="39"/>
      <c r="R24" s="39"/>
      <c r="S24" s="28"/>
      <c r="T24" s="29"/>
      <c r="U24" s="29" t="s">
        <v>130</v>
      </c>
      <c r="V24" s="29"/>
      <c r="W24" s="30" t="s">
        <v>131</v>
      </c>
      <c r="X24" s="30">
        <v>4.7438423645320196</v>
      </c>
      <c r="Y24" s="30">
        <v>-1.7999999999999999E-2</v>
      </c>
      <c r="Z24" s="30">
        <f>2.03*$L$15</f>
        <v>2029.9999999999998</v>
      </c>
      <c r="AA24" s="30">
        <f>67.052727826882*$L$9</f>
        <v>219.98926452389085</v>
      </c>
      <c r="AB24" s="30">
        <f t="shared" si="0"/>
        <v>1.1742453609040586</v>
      </c>
      <c r="AC24" s="30">
        <f t="shared" si="1"/>
        <v>0.98834951456310705</v>
      </c>
      <c r="AD24" s="30">
        <f t="shared" si="2"/>
        <v>9.629999999999999</v>
      </c>
      <c r="AE24" s="33" t="s">
        <v>132</v>
      </c>
      <c r="AF24" s="34"/>
      <c r="AG24" s="34"/>
      <c r="AH24" s="34"/>
      <c r="AI24" s="34"/>
      <c r="AJ24" s="34"/>
      <c r="AK24" s="34"/>
      <c r="AL24" s="34"/>
      <c r="AM24" s="31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</row>
    <row r="25" spans="1:124" ht="14.25" thickTop="1" thickBot="1">
      <c r="A25" s="122"/>
      <c r="B25" s="30">
        <v>0.23</v>
      </c>
      <c r="C25" s="30">
        <v>1</v>
      </c>
      <c r="D25" s="30">
        <f>1*$L$15</f>
        <v>1000</v>
      </c>
      <c r="E25" s="30">
        <f>188*$L$9</f>
        <v>616.79790026246656</v>
      </c>
      <c r="F25" s="31"/>
      <c r="G25" s="32"/>
      <c r="H25" s="30">
        <v>1</v>
      </c>
      <c r="I25" s="31"/>
      <c r="J25" s="32"/>
      <c r="K25" s="38" t="s">
        <v>133</v>
      </c>
      <c r="L25" s="39" t="str">
        <f t="shared" si="6"/>
        <v>us/m</v>
      </c>
      <c r="M25" s="54" t="s">
        <v>114</v>
      </c>
      <c r="N25" s="54" t="s">
        <v>134</v>
      </c>
      <c r="O25" s="39"/>
      <c r="P25" s="39"/>
      <c r="Q25" s="39"/>
      <c r="R25" s="39"/>
      <c r="S25" s="28"/>
      <c r="T25" s="29"/>
      <c r="U25" s="29" t="s">
        <v>135</v>
      </c>
      <c r="V25" s="29"/>
      <c r="W25" s="30" t="s">
        <v>136</v>
      </c>
      <c r="X25" s="30">
        <v>8.7473118279569899</v>
      </c>
      <c r="Y25" s="30">
        <v>-4.1000000000000002E-2</v>
      </c>
      <c r="Z25" s="30">
        <f>1.86*$L$15</f>
        <v>1860</v>
      </c>
      <c r="AA25" s="30">
        <f>73.7580006095703*$L$9*$L$9</f>
        <v>793.92451107703414</v>
      </c>
      <c r="AB25" s="30">
        <f t="shared" si="0"/>
        <v>-0.62776966251488675</v>
      </c>
      <c r="AC25" s="30">
        <f t="shared" si="1"/>
        <v>1.2104651162790696</v>
      </c>
      <c r="AD25" s="30">
        <f t="shared" si="2"/>
        <v>16.270000000000003</v>
      </c>
      <c r="AE25" s="33" t="s">
        <v>137</v>
      </c>
      <c r="AF25" s="34"/>
      <c r="AG25" s="34"/>
      <c r="AH25" s="34"/>
      <c r="AI25" s="34"/>
      <c r="AJ25" s="34"/>
      <c r="AK25" s="34"/>
      <c r="AL25" s="34"/>
      <c r="AM25" s="31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</row>
    <row r="26" spans="1:124" ht="14.25" thickTop="1" thickBot="1">
      <c r="A26" s="122"/>
      <c r="B26" s="55" t="s">
        <v>138</v>
      </c>
      <c r="C26" s="56"/>
      <c r="D26" s="56"/>
      <c r="E26" s="56"/>
      <c r="F26" s="31"/>
      <c r="G26" s="32"/>
      <c r="H26" s="26"/>
      <c r="I26" s="32"/>
      <c r="J26" s="32"/>
      <c r="K26" s="38" t="s">
        <v>139</v>
      </c>
      <c r="L26" s="39" t="str">
        <f t="shared" si="6"/>
        <v>KPa</v>
      </c>
      <c r="M26" s="54" t="s">
        <v>118</v>
      </c>
      <c r="N26" s="54" t="s">
        <v>140</v>
      </c>
      <c r="O26" s="39"/>
      <c r="P26" s="39"/>
      <c r="Q26" s="39"/>
      <c r="R26" s="39"/>
      <c r="S26" s="28"/>
      <c r="T26" s="29"/>
      <c r="U26" s="29" t="s">
        <v>141</v>
      </c>
      <c r="V26" s="29"/>
      <c r="W26" s="30" t="s">
        <v>142</v>
      </c>
      <c r="X26" s="30">
        <v>4.2884615384615401</v>
      </c>
      <c r="Y26" s="30">
        <v>0.58399999999999996</v>
      </c>
      <c r="Z26" s="30">
        <f>1.56*$L$15</f>
        <v>1560</v>
      </c>
      <c r="AA26" s="30">
        <f>78.0249923803718*$L$9</f>
        <v>255.98750780961851</v>
      </c>
      <c r="AB26" s="30">
        <f t="shared" si="0"/>
        <v>1.9638394217790753</v>
      </c>
      <c r="AC26" s="30">
        <f t="shared" si="1"/>
        <v>0.74285714285714288</v>
      </c>
      <c r="AD26" s="30">
        <f t="shared" si="2"/>
        <v>6.6900000000000031</v>
      </c>
      <c r="AE26" s="33" t="s">
        <v>143</v>
      </c>
      <c r="AF26" s="34"/>
      <c r="AG26" s="34"/>
      <c r="AH26" s="34"/>
      <c r="AI26" s="34"/>
      <c r="AJ26" s="34"/>
      <c r="AK26" s="34"/>
      <c r="AL26" s="34"/>
      <c r="AM26" s="31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</row>
    <row r="27" spans="1:124" ht="14.25" thickTop="1" thickBot="1">
      <c r="A27" s="126" t="s">
        <v>144</v>
      </c>
      <c r="B27" s="53" t="s">
        <v>145</v>
      </c>
      <c r="C27" s="53" t="s">
        <v>146</v>
      </c>
      <c r="D27" s="53" t="s">
        <v>147</v>
      </c>
      <c r="E27" s="53" t="s">
        <v>491</v>
      </c>
      <c r="F27" s="32"/>
      <c r="G27" s="32"/>
      <c r="H27" s="32" t="s">
        <v>148</v>
      </c>
      <c r="I27" s="32"/>
      <c r="J27" s="32"/>
      <c r="K27" s="38" t="s">
        <v>149</v>
      </c>
      <c r="L27" s="39" t="str">
        <f t="shared" si="6"/>
        <v>m3/d</v>
      </c>
      <c r="M27" s="54" t="s">
        <v>150</v>
      </c>
      <c r="N27" s="54" t="s">
        <v>151</v>
      </c>
      <c r="O27" s="39"/>
      <c r="P27" s="39"/>
      <c r="Q27" s="39"/>
      <c r="R27" s="39"/>
      <c r="S27" s="28"/>
      <c r="T27" s="29" t="s">
        <v>152</v>
      </c>
      <c r="U27" s="29" t="s">
        <v>153</v>
      </c>
      <c r="V27" s="29"/>
      <c r="W27" s="30" t="s">
        <v>154</v>
      </c>
      <c r="X27" s="30">
        <v>0.17006802721088399</v>
      </c>
      <c r="Y27" s="30">
        <v>0.41399999999999998</v>
      </c>
      <c r="Z27" s="30">
        <f>1.47*$L$15</f>
        <v>1470</v>
      </c>
      <c r="AA27" s="30">
        <f>105.15086863761*$L$9</f>
        <v>344.98316482155474</v>
      </c>
      <c r="AB27" s="30">
        <f t="shared" si="0"/>
        <v>1.7627474757955321</v>
      </c>
      <c r="AC27" s="30">
        <f t="shared" si="1"/>
        <v>1.246808510638298</v>
      </c>
      <c r="AD27" s="30">
        <f t="shared" si="2"/>
        <v>0.24999999999999947</v>
      </c>
      <c r="AE27" s="33" t="s">
        <v>155</v>
      </c>
      <c r="AF27" s="34"/>
      <c r="AG27" s="34"/>
      <c r="AH27" s="34"/>
      <c r="AI27" s="34"/>
      <c r="AJ27" s="34"/>
      <c r="AK27" s="34"/>
      <c r="AL27" s="34"/>
      <c r="AM27" s="31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</row>
    <row r="28" spans="1:124" ht="14.25" thickTop="1" thickBot="1">
      <c r="A28" s="122"/>
      <c r="B28" s="30">
        <v>1.5</v>
      </c>
      <c r="C28" s="30">
        <v>1</v>
      </c>
      <c r="D28" s="30">
        <v>1000</v>
      </c>
      <c r="E28" s="30">
        <f>198*$L$9</f>
        <v>649.60629921259772</v>
      </c>
      <c r="F28" s="31"/>
      <c r="G28" s="32"/>
      <c r="H28" s="30">
        <v>1</v>
      </c>
      <c r="I28" s="31"/>
      <c r="J28" s="32"/>
      <c r="K28" s="38" t="s">
        <v>21</v>
      </c>
      <c r="L28" s="39" t="str">
        <f t="shared" si="6"/>
        <v>Kg/m3</v>
      </c>
      <c r="M28" s="54" t="s">
        <v>133</v>
      </c>
      <c r="N28" s="54" t="s">
        <v>156</v>
      </c>
      <c r="O28" s="39"/>
      <c r="P28" s="39"/>
      <c r="Q28" s="39"/>
      <c r="R28" s="39"/>
      <c r="S28" s="28"/>
      <c r="T28" s="29" t="s">
        <v>29</v>
      </c>
      <c r="U28" s="29" t="s">
        <v>157</v>
      </c>
      <c r="V28" s="29"/>
      <c r="W28" s="30" t="s">
        <v>158</v>
      </c>
      <c r="X28" s="30">
        <v>0.218487394957983</v>
      </c>
      <c r="Y28" s="30">
        <v>0.54200000000000004</v>
      </c>
      <c r="Z28" s="30">
        <f>1.19*$L$15</f>
        <v>1190</v>
      </c>
      <c r="AA28" s="30">
        <f>160.012191411155*$L$9</f>
        <v>524.97438127019302</v>
      </c>
      <c r="AB28" s="30">
        <f t="shared" si="0"/>
        <v>1.4730425573076316</v>
      </c>
      <c r="AC28" s="30">
        <f t="shared" si="1"/>
        <v>2.4105263157894736</v>
      </c>
      <c r="AD28" s="30">
        <f t="shared" si="2"/>
        <v>0.25999999999999979</v>
      </c>
      <c r="AE28" s="33" t="s">
        <v>159</v>
      </c>
      <c r="AF28" s="34"/>
      <c r="AG28" s="34"/>
      <c r="AH28" s="34"/>
      <c r="AI28" s="34"/>
      <c r="AJ28" s="34"/>
      <c r="AK28" s="34"/>
      <c r="AL28" s="34"/>
      <c r="AM28" s="31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</row>
    <row r="29" spans="1:124" ht="14.25" thickTop="1" thickBot="1">
      <c r="A29" s="122"/>
      <c r="B29" s="26"/>
      <c r="C29" s="26"/>
      <c r="D29" s="26"/>
      <c r="E29" s="26"/>
      <c r="F29" s="32"/>
      <c r="G29" s="32"/>
      <c r="H29" s="26"/>
      <c r="I29" s="32"/>
      <c r="J29" s="32"/>
      <c r="K29" s="38" t="s">
        <v>160</v>
      </c>
      <c r="L29" s="39" t="str">
        <f t="shared" si="6"/>
        <v>mm</v>
      </c>
      <c r="M29" s="54" t="s">
        <v>139</v>
      </c>
      <c r="N29" s="54" t="s">
        <v>161</v>
      </c>
      <c r="O29" s="39"/>
      <c r="P29" s="39"/>
      <c r="Q29" s="39"/>
      <c r="R29" s="39"/>
      <c r="S29" s="28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3" t="s">
        <v>162</v>
      </c>
      <c r="AF29" s="34"/>
      <c r="AG29" s="34"/>
      <c r="AH29" s="34"/>
      <c r="AI29" s="34"/>
      <c r="AJ29" s="34"/>
      <c r="AK29" s="34"/>
      <c r="AL29" s="34"/>
      <c r="AM29" s="31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</row>
    <row r="30" spans="1:124" ht="14.25" thickTop="1" thickBot="1">
      <c r="A30" s="126" t="s">
        <v>163</v>
      </c>
      <c r="B30" s="46" t="s">
        <v>164</v>
      </c>
      <c r="C30" s="46" t="s">
        <v>165</v>
      </c>
      <c r="D30" s="46" t="s">
        <v>166</v>
      </c>
      <c r="E30" s="46" t="s">
        <v>492</v>
      </c>
      <c r="F30" s="46" t="s">
        <v>167</v>
      </c>
      <c r="G30" s="46" t="s">
        <v>168</v>
      </c>
      <c r="H30" s="46" t="s">
        <v>169</v>
      </c>
      <c r="I30" s="55" t="s">
        <v>170</v>
      </c>
      <c r="J30" s="56"/>
      <c r="K30" s="38" t="s">
        <v>171</v>
      </c>
      <c r="L30" s="39" t="str">
        <f t="shared" si="6"/>
        <v>'C</v>
      </c>
      <c r="M30" s="54" t="s">
        <v>149</v>
      </c>
      <c r="N30" s="54" t="s">
        <v>172</v>
      </c>
      <c r="O30" s="39"/>
      <c r="P30" s="39"/>
      <c r="Q30" s="39"/>
      <c r="R30" s="39"/>
      <c r="S30" s="28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33" t="s">
        <v>173</v>
      </c>
      <c r="AF30" s="34"/>
      <c r="AG30" s="34"/>
      <c r="AH30" s="34"/>
      <c r="AI30" s="34"/>
      <c r="AJ30" s="34"/>
      <c r="AK30" s="34"/>
      <c r="AL30" s="34"/>
      <c r="AM30" s="31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</row>
    <row r="31" spans="1:124" ht="14.25" thickTop="1" thickBot="1">
      <c r="A31" s="124" t="s">
        <v>27</v>
      </c>
      <c r="B31" s="30">
        <v>1.80377358490566</v>
      </c>
      <c r="C31" s="30">
        <v>-2.8000000000000001E-2</v>
      </c>
      <c r="D31" s="30">
        <f>2.65*$L$15</f>
        <v>2650</v>
      </c>
      <c r="E31" s="30">
        <f>55.5*$L$9</f>
        <v>182.08661417322816</v>
      </c>
      <c r="F31" s="30">
        <f>0.01*($E$25-E31)/(D31-$D$25)/$L$9*$L$15</f>
        <v>0.80303030303030309</v>
      </c>
      <c r="G31" s="30">
        <f>($C$25-C31)/(D31-$D$25)*$L$15</f>
        <v>0.62303030303030305</v>
      </c>
      <c r="H31" s="30">
        <f>D31*B31/$L$15</f>
        <v>4.7799999999999994</v>
      </c>
      <c r="I31" s="57" t="s">
        <v>174</v>
      </c>
      <c r="J31" s="58"/>
      <c r="K31" s="38" t="s">
        <v>175</v>
      </c>
      <c r="L31" s="39" t="str">
        <f t="shared" si="6"/>
        <v>Metric</v>
      </c>
      <c r="M31" s="54" t="s">
        <v>21</v>
      </c>
      <c r="N31" s="54" t="s">
        <v>176</v>
      </c>
      <c r="O31" s="39"/>
      <c r="P31" s="39"/>
      <c r="Q31" s="39"/>
      <c r="R31" s="39"/>
      <c r="S31" s="28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3" t="s">
        <v>177</v>
      </c>
      <c r="AF31" s="34"/>
      <c r="AG31" s="34"/>
      <c r="AH31" s="34"/>
      <c r="AI31" s="34"/>
      <c r="AJ31" s="34"/>
      <c r="AK31" s="34"/>
      <c r="AL31" s="34"/>
      <c r="AM31" s="31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</row>
    <row r="32" spans="1:124" ht="13.5" thickTop="1">
      <c r="A32" s="125"/>
      <c r="B32" s="26"/>
      <c r="C32" s="26"/>
      <c r="D32" s="26"/>
      <c r="E32" s="26"/>
      <c r="F32" s="26"/>
      <c r="G32" s="26"/>
      <c r="H32" s="26"/>
      <c r="I32" s="57" t="s">
        <v>178</v>
      </c>
      <c r="J32" s="58"/>
      <c r="K32" s="38" t="s">
        <v>179</v>
      </c>
      <c r="L32" s="39" t="str">
        <f t="shared" si="6"/>
        <v>md-m</v>
      </c>
      <c r="M32" s="54" t="s">
        <v>160</v>
      </c>
      <c r="N32" s="54" t="s">
        <v>180</v>
      </c>
      <c r="O32" s="39"/>
      <c r="P32" s="39"/>
      <c r="Q32" s="39"/>
      <c r="R32" s="39"/>
      <c r="S32" s="28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3" t="s">
        <v>181</v>
      </c>
      <c r="AF32" s="34"/>
      <c r="AG32" s="34"/>
      <c r="AH32" s="34"/>
      <c r="AI32" s="34"/>
      <c r="AJ32" s="34"/>
      <c r="AK32" s="34"/>
      <c r="AL32" s="34"/>
      <c r="AM32" s="31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</row>
    <row r="33" spans="1:124" ht="13.5" thickBot="1">
      <c r="A33" s="126" t="s">
        <v>182</v>
      </c>
      <c r="B33" s="46" t="s">
        <v>183</v>
      </c>
      <c r="C33" s="46" t="s">
        <v>184</v>
      </c>
      <c r="D33" s="46" t="s">
        <v>185</v>
      </c>
      <c r="E33" s="46" t="s">
        <v>493</v>
      </c>
      <c r="F33" s="46" t="s">
        <v>186</v>
      </c>
      <c r="G33" s="46" t="s">
        <v>187</v>
      </c>
      <c r="H33" s="46" t="s">
        <v>188</v>
      </c>
      <c r="I33" s="57" t="s">
        <v>189</v>
      </c>
      <c r="J33" s="58"/>
      <c r="K33" s="38" t="s">
        <v>190</v>
      </c>
      <c r="L33" s="39" t="str">
        <f t="shared" si="6"/>
        <v>m3</v>
      </c>
      <c r="M33" s="54" t="s">
        <v>191</v>
      </c>
      <c r="N33" s="54" t="s">
        <v>192</v>
      </c>
      <c r="O33" s="39"/>
      <c r="P33" s="39"/>
      <c r="Q33" s="39"/>
      <c r="R33" s="39"/>
      <c r="S33" s="28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3" t="s">
        <v>193</v>
      </c>
      <c r="AF33" s="34"/>
      <c r="AG33" s="34"/>
      <c r="AH33" s="34"/>
      <c r="AI33" s="34"/>
      <c r="AJ33" s="34"/>
      <c r="AK33" s="34"/>
      <c r="AL33" s="34"/>
      <c r="AM33" s="31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</row>
    <row r="34" spans="1:124" ht="14.25" thickTop="1" thickBot="1">
      <c r="A34" s="124" t="s">
        <v>35</v>
      </c>
      <c r="B34" s="30">
        <v>3.1358885017421598</v>
      </c>
      <c r="C34" s="30">
        <v>5.0000000000000001E-3</v>
      </c>
      <c r="D34" s="30">
        <f>2.87*$L$15</f>
        <v>2870</v>
      </c>
      <c r="E34" s="30">
        <f>43.8890582139592*$L$9</f>
        <v>143.99297314291061</v>
      </c>
      <c r="F34" s="30">
        <f>0.01*($E$25-E34)/(D34-$D$25)/$L$9*$L$15</f>
        <v>0.7706467475189348</v>
      </c>
      <c r="G34" s="30">
        <f>($C$25-C34)/(D34-$D$25)*$L$15</f>
        <v>0.53208556149732622</v>
      </c>
      <c r="H34" s="30">
        <f>D34*B34/$L$15</f>
        <v>8.9999999999999982</v>
      </c>
      <c r="I34" s="57" t="s">
        <v>174</v>
      </c>
      <c r="J34" s="58"/>
      <c r="K34" s="38" t="s">
        <v>194</v>
      </c>
      <c r="L34" s="39" t="str">
        <f t="shared" si="6"/>
        <v>$/m3</v>
      </c>
      <c r="M34" s="54" t="s">
        <v>195</v>
      </c>
      <c r="N34" s="54" t="s">
        <v>196</v>
      </c>
      <c r="O34" s="39"/>
      <c r="P34" s="39"/>
      <c r="Q34" s="39"/>
      <c r="R34" s="39"/>
      <c r="S34" s="28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3" t="s">
        <v>197</v>
      </c>
      <c r="AF34" s="34"/>
      <c r="AG34" s="34"/>
      <c r="AH34" s="34"/>
      <c r="AI34" s="34"/>
      <c r="AJ34" s="34"/>
      <c r="AK34" s="34"/>
      <c r="AL34" s="34"/>
      <c r="AM34" s="31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</row>
    <row r="35" spans="1:124" ht="14.25" thickTop="1" thickBot="1">
      <c r="A35" s="125"/>
      <c r="B35" s="26"/>
      <c r="C35" s="26"/>
      <c r="D35" s="26"/>
      <c r="E35" s="26"/>
      <c r="F35" s="26"/>
      <c r="G35" s="26"/>
      <c r="H35" s="26"/>
      <c r="I35" s="57" t="s">
        <v>198</v>
      </c>
      <c r="J35" s="58"/>
      <c r="K35" s="38" t="s">
        <v>199</v>
      </c>
      <c r="L35" s="39" t="str">
        <f t="shared" si="6"/>
        <v>m3/KPa</v>
      </c>
      <c r="M35" s="54" t="s">
        <v>179</v>
      </c>
      <c r="N35" s="54" t="s">
        <v>200</v>
      </c>
      <c r="O35" s="39"/>
      <c r="P35" s="39"/>
      <c r="Q35" s="39"/>
      <c r="R35" s="39"/>
      <c r="S35" s="28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3" t="s">
        <v>201</v>
      </c>
      <c r="AF35" s="34"/>
      <c r="AG35" s="34"/>
      <c r="AH35" s="34"/>
      <c r="AI35" s="34"/>
      <c r="AJ35" s="34"/>
      <c r="AK35" s="34"/>
      <c r="AL35" s="34"/>
      <c r="AM35" s="31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</row>
    <row r="36" spans="1:124" ht="14.25" thickTop="1" thickBot="1">
      <c r="A36" s="126" t="s">
        <v>202</v>
      </c>
      <c r="B36" s="46" t="s">
        <v>203</v>
      </c>
      <c r="C36" s="46" t="s">
        <v>204</v>
      </c>
      <c r="D36" s="46" t="s">
        <v>205</v>
      </c>
      <c r="E36" s="46" t="s">
        <v>494</v>
      </c>
      <c r="F36" s="46" t="s">
        <v>206</v>
      </c>
      <c r="G36" s="46" t="s">
        <v>207</v>
      </c>
      <c r="H36" s="46" t="s">
        <v>208</v>
      </c>
      <c r="I36" s="26"/>
      <c r="J36" s="26"/>
      <c r="K36" s="38" t="s">
        <v>209</v>
      </c>
      <c r="L36" s="39" t="str">
        <f t="shared" si="6"/>
        <v>1000bbl</v>
      </c>
      <c r="M36" s="54" t="s">
        <v>210</v>
      </c>
      <c r="N36" s="54" t="s">
        <v>210</v>
      </c>
      <c r="O36" s="39"/>
      <c r="P36" s="39"/>
      <c r="Q36" s="39"/>
      <c r="R36" s="39"/>
      <c r="S36" s="2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3" t="s">
        <v>211</v>
      </c>
      <c r="AF36" s="34"/>
      <c r="AG36" s="34"/>
      <c r="AH36" s="34"/>
      <c r="AI36" s="34"/>
      <c r="AJ36" s="34"/>
      <c r="AK36" s="34"/>
      <c r="AL36" s="34"/>
      <c r="AM36" s="31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</row>
    <row r="37" spans="1:124" ht="14.25" thickTop="1" thickBot="1">
      <c r="A37" s="124" t="s">
        <v>31</v>
      </c>
      <c r="B37" s="30">
        <v>5.0811808118081201</v>
      </c>
      <c r="C37" s="30">
        <v>0</v>
      </c>
      <c r="D37" s="30">
        <f>2.71*$L$15</f>
        <v>2710</v>
      </c>
      <c r="E37" s="30">
        <f>47.2416946053033*$L$9</f>
        <v>154.99243636910515</v>
      </c>
      <c r="F37" s="30">
        <f>0.01*($E$25-E37)/(D37-$D$25)/$L$9*$L$15</f>
        <v>0.82314798476430828</v>
      </c>
      <c r="G37" s="30">
        <f>($C$25-C37)/(D37-$D$25)*$L$15</f>
        <v>0.58479532163742687</v>
      </c>
      <c r="H37" s="30">
        <f>D37*B37/$L$15</f>
        <v>13.770000000000005</v>
      </c>
      <c r="I37" s="31" t="s">
        <v>32</v>
      </c>
      <c r="J37" s="32"/>
      <c r="K37" s="38" t="s">
        <v>212</v>
      </c>
      <c r="L37" s="39" t="str">
        <f t="shared" si="6"/>
        <v xml:space="preserve"> bbl/d</v>
      </c>
      <c r="M37" s="54" t="s">
        <v>213</v>
      </c>
      <c r="N37" s="54" t="s">
        <v>213</v>
      </c>
      <c r="O37" s="39"/>
      <c r="P37" s="39"/>
      <c r="Q37" s="39"/>
      <c r="R37" s="39"/>
      <c r="S37" s="28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3" t="s">
        <v>214</v>
      </c>
      <c r="AF37" s="34"/>
      <c r="AG37" s="34"/>
      <c r="AH37" s="34"/>
      <c r="AI37" s="34"/>
      <c r="AJ37" s="34"/>
      <c r="AK37" s="34"/>
      <c r="AL37" s="34"/>
      <c r="AM37" s="31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</row>
    <row r="38" spans="1:124" ht="14.25" thickTop="1" thickBot="1">
      <c r="A38" s="125"/>
      <c r="B38" s="26"/>
      <c r="C38" s="26"/>
      <c r="D38" s="26"/>
      <c r="E38" s="26"/>
      <c r="F38" s="26"/>
      <c r="G38" s="26"/>
      <c r="H38" s="26"/>
      <c r="I38" s="32"/>
      <c r="J38" s="32"/>
      <c r="K38" s="59"/>
      <c r="L38" s="39" t="str">
        <f>IF($A$15="M",N38,M38)</f>
        <v>m3</v>
      </c>
      <c r="M38" s="54" t="s">
        <v>191</v>
      </c>
      <c r="N38" s="54" t="s">
        <v>192</v>
      </c>
      <c r="O38" s="39"/>
      <c r="P38" s="39"/>
      <c r="Q38" s="39"/>
      <c r="R38" s="39"/>
      <c r="S38" s="28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3" t="s">
        <v>215</v>
      </c>
      <c r="AF38" s="34"/>
      <c r="AG38" s="34"/>
      <c r="AH38" s="34"/>
      <c r="AI38" s="34"/>
      <c r="AJ38" s="34"/>
      <c r="AK38" s="34"/>
      <c r="AL38" s="34"/>
      <c r="AM38" s="31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</row>
    <row r="39" spans="1:124" ht="14.25" thickTop="1" thickBot="1">
      <c r="A39" s="122" t="s">
        <v>216</v>
      </c>
      <c r="B39" s="32"/>
      <c r="C39" s="30">
        <f>2.65*$L$15</f>
        <v>2650</v>
      </c>
      <c r="D39" s="31" t="s">
        <v>217</v>
      </c>
      <c r="E39" s="32"/>
      <c r="F39" s="32"/>
      <c r="G39" s="32"/>
      <c r="H39" s="32"/>
      <c r="I39" s="32"/>
      <c r="J39" s="32"/>
      <c r="K39" s="59"/>
      <c r="L39" s="39" t="str">
        <f>IF($A$15="M",N39,M39)</f>
        <v xml:space="preserve">  Oil</v>
      </c>
      <c r="M39" s="54" t="s">
        <v>218</v>
      </c>
      <c r="N39" s="54" t="s">
        <v>218</v>
      </c>
      <c r="O39" s="39"/>
      <c r="P39" s="39"/>
      <c r="Q39" s="39"/>
      <c r="R39" s="39"/>
      <c r="S39" s="28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3" t="s">
        <v>219</v>
      </c>
      <c r="AF39" s="34"/>
      <c r="AG39" s="34"/>
      <c r="AH39" s="34"/>
      <c r="AI39" s="34"/>
      <c r="AJ39" s="34"/>
      <c r="AK39" s="34"/>
      <c r="AL39" s="34"/>
      <c r="AM39" s="31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</row>
    <row r="40" spans="1:124" ht="13.5" thickTop="1">
      <c r="A40" s="122"/>
      <c r="B40" s="32"/>
      <c r="C40" s="26"/>
      <c r="D40" s="32"/>
      <c r="E40" s="32"/>
      <c r="F40" s="32"/>
      <c r="G40" s="32"/>
      <c r="H40" s="32"/>
      <c r="I40" s="32"/>
      <c r="J40" s="32"/>
      <c r="K40" s="59"/>
      <c r="L40" s="39" t="str">
        <f>IF($A$15="M",N40,M40)</f>
        <v>10^3m3</v>
      </c>
      <c r="M40" s="54" t="s">
        <v>220</v>
      </c>
      <c r="N40" s="54" t="s">
        <v>220</v>
      </c>
      <c r="O40" s="39"/>
      <c r="P40" s="39"/>
      <c r="Q40" s="39"/>
      <c r="R40" s="39"/>
      <c r="S40" s="28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3" t="s">
        <v>221</v>
      </c>
      <c r="AF40" s="34"/>
      <c r="AG40" s="34"/>
      <c r="AH40" s="34"/>
      <c r="AI40" s="34"/>
      <c r="AJ40" s="34"/>
      <c r="AK40" s="34"/>
      <c r="AL40" s="34"/>
      <c r="AM40" s="31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</row>
    <row r="41" spans="1:124" ht="13.5" thickBot="1">
      <c r="A41" s="126" t="s">
        <v>222</v>
      </c>
      <c r="B41" s="32"/>
      <c r="C41" s="46" t="s">
        <v>223</v>
      </c>
      <c r="D41" s="32"/>
      <c r="E41" s="32"/>
      <c r="F41" s="32"/>
      <c r="G41" s="32" t="s">
        <v>224</v>
      </c>
      <c r="H41" s="32"/>
      <c r="I41" s="46" t="s">
        <v>225</v>
      </c>
      <c r="J41" s="32"/>
      <c r="K41" s="59"/>
      <c r="L41" s="39"/>
      <c r="M41" s="39"/>
      <c r="N41" s="39"/>
      <c r="O41" s="39"/>
      <c r="P41" s="39"/>
      <c r="Q41" s="39"/>
      <c r="R41" s="39"/>
      <c r="S41" s="28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3"/>
      <c r="AF41" s="34"/>
      <c r="AG41" s="34"/>
      <c r="AH41" s="34"/>
      <c r="AI41" s="34"/>
      <c r="AJ41" s="34"/>
      <c r="AK41" s="34"/>
      <c r="AL41" s="34"/>
      <c r="AM41" s="31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</row>
    <row r="42" spans="1:124" ht="14.25" thickTop="1" thickBot="1">
      <c r="A42" s="124">
        <v>15</v>
      </c>
      <c r="B42" s="31" t="str">
        <f>$L$30</f>
        <v>'C</v>
      </c>
      <c r="C42" s="30">
        <v>0.62</v>
      </c>
      <c r="D42" s="31"/>
      <c r="E42" s="32"/>
      <c r="F42" s="32"/>
      <c r="G42" s="30">
        <v>0</v>
      </c>
      <c r="H42" s="31"/>
      <c r="I42" s="30">
        <v>1</v>
      </c>
      <c r="J42" s="31"/>
      <c r="K42" s="25"/>
      <c r="L42" s="26"/>
      <c r="M42" s="26"/>
      <c r="N42" s="26"/>
      <c r="O42" s="26"/>
      <c r="P42" s="26"/>
      <c r="Q42" s="26"/>
      <c r="R42" s="26"/>
      <c r="S42" s="46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 t="s">
        <v>226</v>
      </c>
      <c r="AF42" s="34"/>
      <c r="AG42" s="34"/>
      <c r="AH42" s="34"/>
      <c r="AI42" s="34"/>
      <c r="AJ42" s="34"/>
      <c r="AK42" s="34"/>
      <c r="AL42" s="34"/>
      <c r="AM42" s="31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</row>
    <row r="43" spans="1:124" ht="14.25" thickTop="1" thickBot="1">
      <c r="A43" s="125"/>
      <c r="B43" s="32"/>
      <c r="C43" s="26"/>
      <c r="D43" s="32"/>
      <c r="E43" s="32"/>
      <c r="F43" s="32"/>
      <c r="G43" s="60">
        <f>IF($I$51,G42,0)</f>
        <v>0</v>
      </c>
      <c r="H43" s="32"/>
      <c r="I43" s="26"/>
      <c r="J43" s="32"/>
      <c r="K43" s="61" t="s">
        <v>227</v>
      </c>
      <c r="L43" s="62"/>
      <c r="M43" s="62"/>
      <c r="N43" s="62"/>
      <c r="O43" s="62"/>
      <c r="P43" s="62"/>
      <c r="Q43" s="62"/>
      <c r="R43" s="62"/>
      <c r="S43" s="62"/>
      <c r="T43" s="62"/>
      <c r="U43" s="31"/>
      <c r="V43" s="32"/>
      <c r="W43" s="32"/>
      <c r="X43" s="32"/>
      <c r="Y43" s="32"/>
      <c r="Z43" s="32"/>
      <c r="AA43" s="32"/>
      <c r="AB43" s="32"/>
      <c r="AC43" s="32"/>
      <c r="AD43" s="32"/>
      <c r="AE43" s="33"/>
      <c r="AF43" s="34"/>
      <c r="AG43" s="34"/>
      <c r="AH43" s="34"/>
      <c r="AI43" s="34"/>
      <c r="AJ43" s="34"/>
      <c r="AK43" s="34"/>
      <c r="AL43" s="34"/>
      <c r="AM43" s="31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</row>
    <row r="44" spans="1:124" ht="14.25" thickTop="1" thickBot="1">
      <c r="A44" s="126" t="s">
        <v>228</v>
      </c>
      <c r="B44" s="32"/>
      <c r="C44" s="46" t="s">
        <v>53</v>
      </c>
      <c r="D44" s="32"/>
      <c r="E44" s="32"/>
      <c r="F44" s="32"/>
      <c r="G44" s="46" t="s">
        <v>229</v>
      </c>
      <c r="H44" s="32"/>
      <c r="I44" s="46" t="s">
        <v>230</v>
      </c>
      <c r="J44" s="32"/>
      <c r="K44" s="63" t="s">
        <v>231</v>
      </c>
      <c r="L44" s="64"/>
      <c r="M44" s="64"/>
      <c r="N44" s="64"/>
      <c r="O44" s="64"/>
      <c r="P44" s="64"/>
      <c r="Q44" s="64"/>
      <c r="R44" s="64"/>
      <c r="S44" s="64"/>
      <c r="T44" s="64"/>
      <c r="U44" s="31"/>
      <c r="V44" s="32"/>
      <c r="W44" s="32"/>
      <c r="X44" s="32"/>
      <c r="Y44" s="32"/>
      <c r="Z44" s="32"/>
      <c r="AA44" s="32"/>
      <c r="AB44" s="32"/>
      <c r="AC44" s="32"/>
      <c r="AD44" s="32"/>
      <c r="AE44" s="26"/>
      <c r="AF44" s="26"/>
      <c r="AG44" s="26"/>
      <c r="AH44" s="26"/>
      <c r="AI44" s="26"/>
      <c r="AJ44" s="26"/>
      <c r="AK44" s="26"/>
      <c r="AL44" s="26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</row>
    <row r="45" spans="1:124" ht="14.25" thickTop="1" thickBot="1">
      <c r="A45" s="124">
        <v>25</v>
      </c>
      <c r="B45" s="31" t="str">
        <f>$L$30</f>
        <v>'C</v>
      </c>
      <c r="C45" s="30">
        <v>2.15</v>
      </c>
      <c r="D45" s="31"/>
      <c r="E45" s="32"/>
      <c r="F45" s="32"/>
      <c r="G45" s="30">
        <v>1</v>
      </c>
      <c r="H45" s="31"/>
      <c r="I45" s="30">
        <v>1</v>
      </c>
      <c r="J45" s="31"/>
      <c r="K45" s="25"/>
      <c r="L45" s="26"/>
      <c r="M45" s="26"/>
      <c r="N45" s="26"/>
      <c r="O45" s="30">
        <v>0</v>
      </c>
      <c r="P45" s="25" t="s">
        <v>232</v>
      </c>
      <c r="Q45" s="26"/>
      <c r="R45" s="30">
        <v>1</v>
      </c>
      <c r="S45" s="25" t="s">
        <v>233</v>
      </c>
      <c r="T45" s="26"/>
      <c r="U45" s="31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</row>
    <row r="46" spans="1:124" ht="14.25" thickTop="1" thickBot="1">
      <c r="A46" s="125"/>
      <c r="B46" s="32"/>
      <c r="C46" s="26"/>
      <c r="D46" s="32"/>
      <c r="E46" s="32"/>
      <c r="F46" s="32"/>
      <c r="G46" s="26"/>
      <c r="H46" s="32"/>
      <c r="I46" s="26"/>
      <c r="J46" s="32"/>
      <c r="K46" s="31" t="s">
        <v>234</v>
      </c>
      <c r="L46" s="32"/>
      <c r="M46" s="32"/>
      <c r="N46" s="32"/>
      <c r="O46" s="30">
        <v>0</v>
      </c>
      <c r="P46" s="31" t="s">
        <v>235</v>
      </c>
      <c r="Q46" s="32"/>
      <c r="R46" s="30">
        <v>0</v>
      </c>
      <c r="S46" s="31" t="s">
        <v>236</v>
      </c>
      <c r="T46" s="32"/>
      <c r="U46" s="31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</row>
    <row r="47" spans="1:124" ht="14.25" thickTop="1" thickBot="1">
      <c r="A47" s="126" t="s">
        <v>237</v>
      </c>
      <c r="B47" s="32"/>
      <c r="C47" s="46" t="s">
        <v>238</v>
      </c>
      <c r="D47" s="32"/>
      <c r="E47" s="32"/>
      <c r="F47" s="32"/>
      <c r="G47" s="46" t="s">
        <v>239</v>
      </c>
      <c r="H47" s="32"/>
      <c r="I47" s="46" t="s">
        <v>240</v>
      </c>
      <c r="J47" s="32"/>
      <c r="K47" s="31" t="s">
        <v>241</v>
      </c>
      <c r="L47" s="32"/>
      <c r="M47" s="32"/>
      <c r="N47" s="32"/>
      <c r="O47" s="26"/>
      <c r="P47" s="32"/>
      <c r="Q47" s="32"/>
      <c r="R47" s="30">
        <v>0</v>
      </c>
      <c r="S47" s="31" t="s">
        <v>242</v>
      </c>
      <c r="T47" s="32"/>
      <c r="U47" s="31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</row>
    <row r="48" spans="1:124" ht="14.25" thickTop="1" thickBot="1">
      <c r="A48" s="124">
        <v>600</v>
      </c>
      <c r="B48" s="31" t="str">
        <f>$L$24</f>
        <v>meters</v>
      </c>
      <c r="C48" s="30">
        <v>2</v>
      </c>
      <c r="D48" s="31"/>
      <c r="E48" s="32"/>
      <c r="F48" s="32"/>
      <c r="G48" s="30">
        <v>100000</v>
      </c>
      <c r="H48" s="31"/>
      <c r="I48" s="30">
        <v>1</v>
      </c>
      <c r="J48" s="31"/>
      <c r="K48" s="31"/>
      <c r="L48" s="32" t="s">
        <v>243</v>
      </c>
      <c r="M48" s="32"/>
      <c r="N48" s="32" t="s">
        <v>244</v>
      </c>
      <c r="O48" s="32"/>
      <c r="P48" s="32"/>
      <c r="Q48" s="32"/>
      <c r="R48" s="26"/>
      <c r="S48" s="65">
        <v>100</v>
      </c>
      <c r="T48" s="31" t="s">
        <v>245</v>
      </c>
      <c r="U48" s="31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</row>
    <row r="49" spans="1:124" ht="14.25" thickTop="1" thickBot="1">
      <c r="A49" s="125"/>
      <c r="B49" s="32"/>
      <c r="C49" s="26"/>
      <c r="D49" s="32"/>
      <c r="E49" s="32"/>
      <c r="F49" s="32"/>
      <c r="G49" s="26"/>
      <c r="H49" s="32"/>
      <c r="I49" s="26"/>
      <c r="J49" s="32"/>
      <c r="K49" s="31"/>
      <c r="L49" s="32" t="s">
        <v>246</v>
      </c>
      <c r="M49" s="32"/>
      <c r="N49" s="32" t="s">
        <v>247</v>
      </c>
      <c r="O49" s="32"/>
      <c r="P49" s="32"/>
      <c r="Q49" s="32"/>
      <c r="R49" s="32"/>
      <c r="S49" s="30">
        <f>6726/$L$9</f>
        <v>2050.0848000000024</v>
      </c>
      <c r="T49" s="31" t="str">
        <f>$L$24</f>
        <v>meters</v>
      </c>
      <c r="U49" s="31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</row>
    <row r="50" spans="1:124" ht="14.25" thickTop="1" thickBot="1">
      <c r="A50" s="126" t="s">
        <v>248</v>
      </c>
      <c r="B50" s="32"/>
      <c r="C50" s="32" t="s">
        <v>249</v>
      </c>
      <c r="D50" s="32"/>
      <c r="E50" s="32"/>
      <c r="F50" s="32"/>
      <c r="G50" s="46" t="s">
        <v>250</v>
      </c>
      <c r="H50" s="32"/>
      <c r="I50" s="46" t="s">
        <v>251</v>
      </c>
      <c r="J50" s="32"/>
      <c r="K50" s="31"/>
      <c r="L50" s="32" t="s">
        <v>252</v>
      </c>
      <c r="M50" s="32"/>
      <c r="N50" s="32" t="s">
        <v>253</v>
      </c>
      <c r="O50" s="32"/>
      <c r="P50" s="32"/>
      <c r="Q50" s="32"/>
      <c r="R50" s="32"/>
      <c r="S50" s="30">
        <v>0.21</v>
      </c>
      <c r="T50" s="31" t="s">
        <v>23</v>
      </c>
      <c r="U50" s="31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</row>
    <row r="51" spans="1:124" ht="14.25" thickTop="1" thickBot="1">
      <c r="A51" s="124">
        <v>25</v>
      </c>
      <c r="B51" s="31" t="str">
        <f>$L$30</f>
        <v>'C</v>
      </c>
      <c r="C51" s="30">
        <v>0.03</v>
      </c>
      <c r="D51" s="31"/>
      <c r="E51" s="32"/>
      <c r="F51" s="32"/>
      <c r="G51" s="30">
        <v>0.34</v>
      </c>
      <c r="H51" s="31" t="s">
        <v>23</v>
      </c>
      <c r="I51" s="30">
        <v>0</v>
      </c>
      <c r="J51" s="31"/>
      <c r="K51" s="31"/>
      <c r="L51" s="32" t="s">
        <v>252</v>
      </c>
      <c r="M51" s="32"/>
      <c r="N51" s="32" t="s">
        <v>254</v>
      </c>
      <c r="O51" s="32"/>
      <c r="P51" s="32"/>
      <c r="Q51" s="32"/>
      <c r="R51" s="32"/>
      <c r="S51" s="30">
        <v>1.2</v>
      </c>
      <c r="T51" s="31" t="s">
        <v>77</v>
      </c>
      <c r="U51" s="31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</row>
    <row r="52" spans="1:124" ht="14.25" thickTop="1" thickBot="1">
      <c r="A52" s="125"/>
      <c r="B52" s="32"/>
      <c r="C52" s="26"/>
      <c r="D52" s="32"/>
      <c r="E52" s="32"/>
      <c r="F52" s="32"/>
      <c r="G52" s="26"/>
      <c r="H52" s="32" t="s">
        <v>255</v>
      </c>
      <c r="I52" s="26"/>
      <c r="J52" s="32"/>
      <c r="K52" s="31"/>
      <c r="L52" s="32" t="s">
        <v>256</v>
      </c>
      <c r="M52" s="32"/>
      <c r="N52" s="32" t="s">
        <v>257</v>
      </c>
      <c r="O52" s="32"/>
      <c r="P52" s="32"/>
      <c r="Q52" s="32"/>
      <c r="R52" s="32"/>
      <c r="S52" s="30">
        <v>-60</v>
      </c>
      <c r="T52" s="31" t="s">
        <v>79</v>
      </c>
      <c r="U52" s="31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</row>
    <row r="53" spans="1:124" ht="14.25" thickTop="1" thickBot="1">
      <c r="A53" s="122" t="s">
        <v>258</v>
      </c>
      <c r="B53" s="32"/>
      <c r="C53" s="46" t="s">
        <v>7</v>
      </c>
      <c r="D53" s="32"/>
      <c r="E53" s="46" t="s">
        <v>8</v>
      </c>
      <c r="F53" s="32"/>
      <c r="G53" s="46" t="s">
        <v>9</v>
      </c>
      <c r="H53" s="32"/>
      <c r="I53" s="46" t="s">
        <v>259</v>
      </c>
      <c r="J53" s="32"/>
      <c r="K53" s="31"/>
      <c r="L53" s="32" t="s">
        <v>256</v>
      </c>
      <c r="M53" s="32"/>
      <c r="N53" s="32" t="s">
        <v>260</v>
      </c>
      <c r="O53" s="32"/>
      <c r="P53" s="32"/>
      <c r="Q53" s="32"/>
      <c r="R53" s="32"/>
      <c r="S53" s="30">
        <v>0.4</v>
      </c>
      <c r="T53" s="31" t="s">
        <v>77</v>
      </c>
      <c r="U53" s="31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</row>
    <row r="54" spans="1:124" ht="14.25" thickTop="1" thickBot="1">
      <c r="A54" s="127" t="s">
        <v>261</v>
      </c>
      <c r="B54" s="32" t="s">
        <v>262</v>
      </c>
      <c r="C54" s="30">
        <v>1</v>
      </c>
      <c r="D54" s="31"/>
      <c r="E54" s="30">
        <v>0</v>
      </c>
      <c r="F54" s="31"/>
      <c r="G54" s="30">
        <v>1</v>
      </c>
      <c r="H54" s="31"/>
      <c r="I54" s="30">
        <v>0</v>
      </c>
      <c r="J54" s="31"/>
      <c r="K54" s="31"/>
      <c r="L54" s="32" t="s">
        <v>263</v>
      </c>
      <c r="M54" s="32"/>
      <c r="N54" s="32" t="s">
        <v>264</v>
      </c>
      <c r="O54" s="32"/>
      <c r="P54" s="32"/>
      <c r="Q54" s="32"/>
      <c r="R54" s="32"/>
      <c r="S54" s="30">
        <v>4.6862190138426803E-2</v>
      </c>
      <c r="T54" s="31" t="s">
        <v>77</v>
      </c>
      <c r="U54" s="31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</row>
    <row r="55" spans="1:124" ht="14.25" thickTop="1" thickBot="1">
      <c r="A55" s="127" t="s">
        <v>265</v>
      </c>
      <c r="B55" s="32" t="s">
        <v>266</v>
      </c>
      <c r="C55" s="30">
        <v>0.4</v>
      </c>
      <c r="D55" s="31"/>
      <c r="E55" s="30">
        <v>0.08</v>
      </c>
      <c r="F55" s="31"/>
      <c r="G55" s="30">
        <v>0.6</v>
      </c>
      <c r="H55" s="31"/>
      <c r="I55" s="30">
        <v>1</v>
      </c>
      <c r="J55" s="31"/>
      <c r="K55" s="31"/>
      <c r="L55" s="32" t="s">
        <v>263</v>
      </c>
      <c r="M55" s="32"/>
      <c r="N55" s="32" t="s">
        <v>267</v>
      </c>
      <c r="O55" s="32"/>
      <c r="P55" s="32"/>
      <c r="Q55" s="32"/>
      <c r="R55" s="32"/>
      <c r="S55" s="30">
        <f>(122-$L$8)/$L$7</f>
        <v>50</v>
      </c>
      <c r="T55" s="31" t="str">
        <f>$L$30</f>
        <v>'C</v>
      </c>
      <c r="U55" s="31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</row>
    <row r="56" spans="1:124" ht="14.25" thickTop="1" thickBot="1">
      <c r="A56" s="124">
        <v>0.08</v>
      </c>
      <c r="B56" s="31" t="s">
        <v>268</v>
      </c>
      <c r="C56" s="30">
        <v>0.25</v>
      </c>
      <c r="D56" s="31"/>
      <c r="E56" s="30">
        <v>0.1</v>
      </c>
      <c r="F56" s="31"/>
      <c r="G56" s="30">
        <v>0.3</v>
      </c>
      <c r="H56" s="31"/>
      <c r="I56" s="30">
        <v>2</v>
      </c>
      <c r="J56" s="31"/>
      <c r="K56" s="31"/>
      <c r="L56" s="32" t="s">
        <v>269</v>
      </c>
      <c r="M56" s="32"/>
      <c r="N56" s="32" t="s">
        <v>270</v>
      </c>
      <c r="O56" s="32"/>
      <c r="P56" s="32"/>
      <c r="Q56" s="32"/>
      <c r="R56" s="32"/>
      <c r="S56" s="30">
        <f>(60-$L$8)/$L$7</f>
        <v>15.555555555555555</v>
      </c>
      <c r="T56" s="31" t="str">
        <f>$L$30</f>
        <v>'C</v>
      </c>
      <c r="U56" s="31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</row>
    <row r="57" spans="1:124" ht="14.25" thickTop="1" thickBot="1">
      <c r="A57" s="125"/>
      <c r="B57" s="32"/>
      <c r="C57" s="26"/>
      <c r="D57" s="32"/>
      <c r="E57" s="26"/>
      <c r="F57" s="32"/>
      <c r="G57" s="26"/>
      <c r="H57" s="32"/>
      <c r="I57" s="26"/>
      <c r="J57" s="32"/>
      <c r="K57" s="31"/>
      <c r="L57" s="32" t="s">
        <v>269</v>
      </c>
      <c r="M57" s="32"/>
      <c r="N57" s="32" t="s">
        <v>271</v>
      </c>
      <c r="O57" s="32"/>
      <c r="P57" s="32"/>
      <c r="Q57" s="32"/>
      <c r="R57" s="32"/>
      <c r="S57" s="30">
        <f>(140-$L$8)/$L$7</f>
        <v>60</v>
      </c>
      <c r="T57" s="31" t="str">
        <f>$L$30</f>
        <v>'C</v>
      </c>
      <c r="U57" s="31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</row>
    <row r="58" spans="1:124" ht="14.25" thickTop="1" thickBot="1">
      <c r="A58" s="122" t="s">
        <v>272</v>
      </c>
      <c r="B58" s="32"/>
      <c r="C58" s="32" t="s">
        <v>273</v>
      </c>
      <c r="D58" s="32"/>
      <c r="E58" s="32" t="s">
        <v>274</v>
      </c>
      <c r="F58" s="32"/>
      <c r="G58" s="32" t="s">
        <v>275</v>
      </c>
      <c r="H58" s="32"/>
      <c r="I58" s="32" t="s">
        <v>276</v>
      </c>
      <c r="J58" s="31"/>
      <c r="K58" s="31"/>
      <c r="L58" s="32" t="s">
        <v>269</v>
      </c>
      <c r="M58" s="32"/>
      <c r="N58" s="32" t="s">
        <v>277</v>
      </c>
      <c r="O58" s="32"/>
      <c r="P58" s="32"/>
      <c r="Q58" s="32"/>
      <c r="R58" s="32"/>
      <c r="S58" s="30">
        <f>8531/$L$9</f>
        <v>2600.2488000000026</v>
      </c>
      <c r="T58" s="31" t="str">
        <f>$L$24</f>
        <v>meters</v>
      </c>
      <c r="U58" s="31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</row>
    <row r="59" spans="1:124" ht="14.25" thickTop="1" thickBot="1">
      <c r="A59" s="124">
        <v>0</v>
      </c>
      <c r="B59" s="31" t="s">
        <v>278</v>
      </c>
      <c r="C59" s="30">
        <v>1</v>
      </c>
      <c r="D59" s="31" t="s">
        <v>279</v>
      </c>
      <c r="E59" s="30">
        <v>1</v>
      </c>
      <c r="F59" s="31" t="s">
        <v>280</v>
      </c>
      <c r="G59" s="30">
        <v>1</v>
      </c>
      <c r="H59" s="31" t="s">
        <v>281</v>
      </c>
      <c r="I59" s="30">
        <v>0</v>
      </c>
      <c r="J59" s="31" t="s">
        <v>278</v>
      </c>
      <c r="K59" s="31"/>
      <c r="L59" s="32" t="s">
        <v>269</v>
      </c>
      <c r="M59" s="32"/>
      <c r="N59" s="32" t="s">
        <v>282</v>
      </c>
      <c r="O59" s="32"/>
      <c r="P59" s="32"/>
      <c r="Q59" s="32"/>
      <c r="R59" s="32"/>
      <c r="S59" s="30">
        <f>6726/$L$9</f>
        <v>2050.0848000000024</v>
      </c>
      <c r="T59" s="31" t="str">
        <f>$L$24</f>
        <v>meters</v>
      </c>
      <c r="U59" s="31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</row>
    <row r="60" spans="1:124" ht="14.25" thickTop="1" thickBot="1">
      <c r="A60" s="124">
        <v>1</v>
      </c>
      <c r="B60" s="31" t="s">
        <v>283</v>
      </c>
      <c r="C60" s="30">
        <v>1</v>
      </c>
      <c r="D60" s="31" t="s">
        <v>284</v>
      </c>
      <c r="E60" s="30">
        <v>1</v>
      </c>
      <c r="F60" s="31" t="s">
        <v>285</v>
      </c>
      <c r="G60" s="30">
        <v>0</v>
      </c>
      <c r="H60" s="31" t="s">
        <v>286</v>
      </c>
      <c r="I60" s="30">
        <v>1</v>
      </c>
      <c r="J60" s="31" t="s">
        <v>287</v>
      </c>
      <c r="K60" s="61"/>
      <c r="L60" s="62" t="s">
        <v>288</v>
      </c>
      <c r="M60" s="62"/>
      <c r="N60" s="62"/>
      <c r="O60" s="62"/>
      <c r="P60" s="62"/>
      <c r="Q60" s="62"/>
      <c r="R60" s="62"/>
      <c r="S60" s="62"/>
      <c r="T60" s="62"/>
      <c r="U60" s="31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</row>
    <row r="61" spans="1:124" ht="14.25" thickTop="1" thickBot="1">
      <c r="A61" s="124">
        <v>0</v>
      </c>
      <c r="B61" s="31" t="s">
        <v>289</v>
      </c>
      <c r="C61" s="30">
        <v>1</v>
      </c>
      <c r="D61" s="31" t="s">
        <v>290</v>
      </c>
      <c r="E61" s="30">
        <v>0</v>
      </c>
      <c r="F61" s="31" t="s">
        <v>291</v>
      </c>
      <c r="G61" s="30">
        <v>0</v>
      </c>
      <c r="H61" s="31" t="s">
        <v>292</v>
      </c>
      <c r="I61" s="30">
        <v>1</v>
      </c>
      <c r="J61" s="31" t="s">
        <v>293</v>
      </c>
      <c r="K61" s="63"/>
      <c r="L61" s="64" t="s">
        <v>294</v>
      </c>
      <c r="M61" s="64">
        <f>IF(O45,(400/P64/S48)^0.88,10^6)</f>
        <v>1000000</v>
      </c>
      <c r="N61" s="64" t="s">
        <v>295</v>
      </c>
      <c r="O61" s="64">
        <f>IF(O46,-(0.58-10^(0.69*0.85*$S$53/10^(-$S$52/(60+0.122*$P$64))-0.24)),10^6)</f>
        <v>1000000</v>
      </c>
      <c r="P61" s="64" t="s">
        <v>296</v>
      </c>
      <c r="Q61" s="64">
        <f>IF(R45,(S50^$C$45)*S51/$C$42,10^6)</f>
        <v>6.7539997500522475E-2</v>
      </c>
      <c r="R61" s="64" t="s">
        <v>297</v>
      </c>
      <c r="S61" s="64">
        <f>IF(R46,+S54*(S55+$L$6)/(S64+$L$6),10^6)</f>
        <v>1000000</v>
      </c>
      <c r="T61" s="64" t="s">
        <v>77</v>
      </c>
      <c r="U61" s="31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</row>
    <row r="62" spans="1:124" ht="14.25" thickTop="1" thickBot="1">
      <c r="A62" s="124">
        <v>1</v>
      </c>
      <c r="B62" s="31" t="s">
        <v>298</v>
      </c>
      <c r="C62" s="30">
        <v>1</v>
      </c>
      <c r="D62" s="31" t="s">
        <v>299</v>
      </c>
      <c r="E62" s="30">
        <v>0</v>
      </c>
      <c r="F62" s="31" t="s">
        <v>300</v>
      </c>
      <c r="G62" s="30">
        <v>0</v>
      </c>
      <c r="H62" s="31" t="s">
        <v>301</v>
      </c>
      <c r="I62" s="30">
        <v>1</v>
      </c>
      <c r="J62" s="31" t="s">
        <v>302</v>
      </c>
      <c r="K62" s="63"/>
      <c r="L62" s="64"/>
      <c r="M62" s="64"/>
      <c r="N62" s="64"/>
      <c r="O62" s="64"/>
      <c r="P62" s="64"/>
      <c r="Q62" s="64"/>
      <c r="R62" s="64"/>
      <c r="S62" s="64"/>
      <c r="T62" s="64"/>
      <c r="U62" s="31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</row>
    <row r="63" spans="1:124" ht="14.25" thickTop="1" thickBot="1">
      <c r="A63" s="124">
        <v>1</v>
      </c>
      <c r="B63" s="31" t="s">
        <v>303</v>
      </c>
      <c r="C63" s="30">
        <v>1</v>
      </c>
      <c r="D63" s="31" t="s">
        <v>291</v>
      </c>
      <c r="E63" s="26"/>
      <c r="F63" s="32"/>
      <c r="G63" s="26"/>
      <c r="H63" s="32"/>
      <c r="I63" s="30">
        <v>1</v>
      </c>
      <c r="J63" s="31" t="s">
        <v>304</v>
      </c>
      <c r="K63" s="63"/>
      <c r="L63" s="64" t="s">
        <v>305</v>
      </c>
      <c r="M63" s="64"/>
      <c r="N63" s="64" t="s">
        <v>306</v>
      </c>
      <c r="O63" s="64"/>
      <c r="P63" s="64"/>
      <c r="Q63" s="64"/>
      <c r="R63" s="64"/>
      <c r="S63" s="64">
        <f>IF(AND(ABS(R46),R47=0),S61,IF(AND(ABS(R45),R47=0),Q61,IF(AND(ABS(O46),R47=0),O61,IF(AND(ABS(O45),R47=0),M61,IF(R47,MIN(M61*IF(O45,1,99),O61*IF(O46,1,99),Q61*IF(R45,1,99),S61*IF(R46,1,99)),0.25)))))</f>
        <v>6.7539997500522475E-2</v>
      </c>
      <c r="T63" s="64" t="s">
        <v>77</v>
      </c>
      <c r="U63" s="31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</row>
    <row r="64" spans="1:124" ht="14.25" thickTop="1" thickBot="1">
      <c r="A64" s="124">
        <v>1</v>
      </c>
      <c r="B64" s="31" t="s">
        <v>307</v>
      </c>
      <c r="C64" s="30">
        <v>1</v>
      </c>
      <c r="D64" s="31" t="s">
        <v>308</v>
      </c>
      <c r="E64" s="32"/>
      <c r="F64" s="32"/>
      <c r="G64" s="32" t="s">
        <v>309</v>
      </c>
      <c r="H64" s="30">
        <v>22</v>
      </c>
      <c r="I64" s="30">
        <v>1</v>
      </c>
      <c r="J64" s="31" t="s">
        <v>310</v>
      </c>
      <c r="K64" s="63"/>
      <c r="L64" s="64"/>
      <c r="M64" s="64"/>
      <c r="N64" s="64" t="s">
        <v>311</v>
      </c>
      <c r="O64" s="64"/>
      <c r="P64" s="64">
        <f>IF($A$15="M",9/5*S64+32,S64)</f>
        <v>123.07349665924278</v>
      </c>
      <c r="Q64" s="64" t="s">
        <v>149</v>
      </c>
      <c r="R64" s="64"/>
      <c r="S64" s="64">
        <f>S56+(S57-S56)/S58*S59</f>
        <v>50.596387032912652</v>
      </c>
      <c r="T64" s="64" t="str">
        <f>$L$30</f>
        <v>'C</v>
      </c>
      <c r="U64" s="31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</row>
    <row r="65" spans="1:124" ht="14.25" thickTop="1" thickBot="1">
      <c r="A65" s="125"/>
      <c r="B65" s="32"/>
      <c r="C65" s="30">
        <v>0</v>
      </c>
      <c r="D65" s="31" t="s">
        <v>312</v>
      </c>
      <c r="E65" s="32" t="s">
        <v>29</v>
      </c>
      <c r="F65" s="32"/>
      <c r="G65" s="32" t="s">
        <v>313</v>
      </c>
      <c r="H65" s="30">
        <v>-2</v>
      </c>
      <c r="I65" s="30">
        <v>1</v>
      </c>
      <c r="J65" s="31" t="s">
        <v>314</v>
      </c>
      <c r="K65" s="63"/>
      <c r="L65" s="64"/>
      <c r="M65" s="64"/>
      <c r="N65" s="64"/>
      <c r="O65" s="64"/>
      <c r="P65" s="64"/>
      <c r="Q65" s="64"/>
      <c r="R65" s="64"/>
      <c r="S65" s="64"/>
      <c r="T65" s="64"/>
      <c r="U65" s="31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</row>
    <row r="66" spans="1:124" ht="14.25" thickTop="1" thickBot="1">
      <c r="A66" s="122"/>
      <c r="B66" s="32"/>
      <c r="C66" s="30">
        <v>0</v>
      </c>
      <c r="D66" s="31" t="s">
        <v>250</v>
      </c>
      <c r="E66" s="32"/>
      <c r="F66" s="32"/>
      <c r="G66" s="32"/>
      <c r="H66" s="26"/>
      <c r="I66" s="26"/>
      <c r="J66" s="32"/>
      <c r="K66" s="63"/>
      <c r="L66" s="64" t="s">
        <v>315</v>
      </c>
      <c r="M66" s="64"/>
      <c r="N66" s="64"/>
      <c r="O66" s="64"/>
      <c r="P66" s="64"/>
      <c r="Q66" s="64"/>
      <c r="R66" s="64"/>
      <c r="S66" s="64"/>
      <c r="T66" s="64"/>
      <c r="U66" s="31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</row>
    <row r="67" spans="1:124" ht="14.25" thickTop="1" thickBot="1">
      <c r="A67" s="122" t="s">
        <v>316</v>
      </c>
      <c r="B67" s="32" t="s">
        <v>317</v>
      </c>
      <c r="C67" s="26" t="s">
        <v>317</v>
      </c>
      <c r="D67" s="32" t="s">
        <v>317</v>
      </c>
      <c r="E67" s="32" t="s">
        <v>317</v>
      </c>
      <c r="F67" s="32" t="s">
        <v>317</v>
      </c>
      <c r="G67" s="32" t="s">
        <v>317</v>
      </c>
      <c r="H67" s="32" t="s">
        <v>317</v>
      </c>
      <c r="I67" s="32" t="s">
        <v>317</v>
      </c>
      <c r="J67" s="32" t="s">
        <v>318</v>
      </c>
      <c r="K67" s="63"/>
      <c r="L67" s="64" t="s">
        <v>319</v>
      </c>
      <c r="M67" s="64"/>
      <c r="N67" s="64"/>
      <c r="O67" s="64"/>
      <c r="P67" s="64"/>
      <c r="Q67" s="64"/>
      <c r="R67" s="64"/>
      <c r="S67" s="64"/>
      <c r="T67" s="64"/>
      <c r="U67" s="31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>
        <v>67</v>
      </c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</row>
    <row r="68" spans="1:124" ht="13.5" thickTop="1">
      <c r="A68" s="123"/>
      <c r="B68" s="27"/>
      <c r="C68" s="27"/>
      <c r="D68" s="27"/>
      <c r="E68" s="27"/>
      <c r="F68" s="27"/>
      <c r="G68" s="27" t="s">
        <v>320</v>
      </c>
      <c r="H68" s="27"/>
      <c r="I68" s="27"/>
      <c r="J68" s="27"/>
      <c r="K68" s="27" t="s">
        <v>507</v>
      </c>
      <c r="L68" s="27"/>
      <c r="M68" s="29"/>
      <c r="N68" s="27"/>
      <c r="O68" s="27"/>
      <c r="P68" s="27"/>
      <c r="Q68" s="27" t="s">
        <v>321</v>
      </c>
      <c r="R68" s="27"/>
      <c r="S68" s="27"/>
      <c r="T68" s="27"/>
      <c r="U68" s="27"/>
      <c r="V68" s="27"/>
      <c r="W68" s="27"/>
      <c r="X68" s="27"/>
      <c r="Y68" s="27"/>
      <c r="Z68" s="27"/>
      <c r="AA68" s="29"/>
      <c r="AB68" s="27" t="s">
        <v>322</v>
      </c>
      <c r="AC68" s="27"/>
      <c r="AD68" s="27"/>
      <c r="AE68" s="27"/>
      <c r="AF68" s="27"/>
      <c r="AG68" s="27"/>
      <c r="AH68" s="27"/>
      <c r="AI68" s="27"/>
      <c r="AJ68" s="27" t="s">
        <v>323</v>
      </c>
      <c r="AK68" s="27"/>
      <c r="AL68" s="27"/>
      <c r="AM68" s="27"/>
      <c r="AN68" s="27"/>
      <c r="AO68" s="27" t="s">
        <v>301</v>
      </c>
      <c r="AP68" s="27"/>
      <c r="AQ68" s="27"/>
      <c r="AR68" s="27"/>
      <c r="AS68" s="27" t="s">
        <v>324</v>
      </c>
      <c r="AT68" s="27" t="s">
        <v>325</v>
      </c>
      <c r="AU68" s="27" t="s">
        <v>326</v>
      </c>
      <c r="AV68" s="66" t="s">
        <v>327</v>
      </c>
      <c r="AW68" s="66" t="s">
        <v>328</v>
      </c>
      <c r="AX68" s="27" t="s">
        <v>329</v>
      </c>
      <c r="AY68" s="27"/>
      <c r="AZ68" s="27"/>
      <c r="BA68" s="27"/>
      <c r="BB68" s="27"/>
      <c r="BC68" s="27"/>
      <c r="BD68" s="27"/>
      <c r="BE68" s="27"/>
      <c r="BF68" s="27"/>
      <c r="BG68" s="27" t="s">
        <v>330</v>
      </c>
      <c r="BH68" s="27"/>
      <c r="BI68" s="27"/>
      <c r="BJ68" s="27"/>
      <c r="BK68" s="27" t="s">
        <v>331</v>
      </c>
      <c r="BL68" s="27"/>
      <c r="BM68" s="27"/>
      <c r="BN68" s="27"/>
      <c r="BO68" s="27"/>
      <c r="BP68" s="27"/>
      <c r="BQ68" s="27"/>
      <c r="BR68" s="27"/>
      <c r="BS68" s="27"/>
      <c r="BT68" s="27" t="s">
        <v>332</v>
      </c>
      <c r="BU68" s="27"/>
      <c r="BV68" s="27"/>
      <c r="BW68" s="27"/>
      <c r="BX68" s="27"/>
      <c r="BY68" s="27">
        <f t="shared" ref="BY68:BY87" si="7">BY67+1</f>
        <v>68</v>
      </c>
      <c r="BZ68" s="27"/>
      <c r="CA68" s="27" t="s">
        <v>333</v>
      </c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 t="s">
        <v>334</v>
      </c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 t="s">
        <v>335</v>
      </c>
      <c r="DH68" s="27"/>
      <c r="DI68" s="27"/>
      <c r="DJ68" s="29"/>
      <c r="DK68" s="27"/>
      <c r="DL68" s="27"/>
      <c r="DM68" s="27"/>
      <c r="DN68" s="27"/>
      <c r="DO68" s="27"/>
      <c r="DP68" s="27"/>
      <c r="DQ68" s="27"/>
      <c r="DR68" s="27" t="s">
        <v>335</v>
      </c>
      <c r="DS68" s="67"/>
      <c r="DT68" s="35"/>
    </row>
    <row r="69" spans="1:124">
      <c r="A69" s="128" t="s">
        <v>336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5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59"/>
      <c r="AB69" s="54" t="s">
        <v>337</v>
      </c>
      <c r="AC69" s="54" t="s">
        <v>338</v>
      </c>
      <c r="AD69" s="54" t="s">
        <v>339</v>
      </c>
      <c r="AE69" s="54" t="s">
        <v>340</v>
      </c>
      <c r="AF69" s="54" t="s">
        <v>341</v>
      </c>
      <c r="AG69" s="54" t="s">
        <v>342</v>
      </c>
      <c r="AH69" s="54" t="s">
        <v>343</v>
      </c>
      <c r="AI69" s="39">
        <f>($A$45-$A$42)/$A$48</f>
        <v>1.6666666666666666E-2</v>
      </c>
      <c r="AJ69" s="39" t="e">
        <f>$F$22-$F$19</f>
        <v>#VALUE!</v>
      </c>
      <c r="AK69" s="39"/>
      <c r="AL69" s="39">
        <f>$G$22-$G$19</f>
        <v>50</v>
      </c>
      <c r="AM69" s="39">
        <f>$AT$69-$AS$69</f>
        <v>0.22800000000000001</v>
      </c>
      <c r="AN69" s="39">
        <f>$B$25*($A$51+$L$6)</f>
        <v>10.695</v>
      </c>
      <c r="AO69" s="39"/>
      <c r="AP69" s="39">
        <f>$D$25-$D$19</f>
        <v>-1650</v>
      </c>
      <c r="AQ69" s="39">
        <f>$AT$69-$AS$69</f>
        <v>0.22800000000000001</v>
      </c>
      <c r="AR69" s="39">
        <f>($E$25-$E$19)*$G$45/$I$48</f>
        <v>434.7112860892384</v>
      </c>
      <c r="AS69" s="39">
        <f>($D$22-$D$19)/($D$25-$D$19)</f>
        <v>0</v>
      </c>
      <c r="AT69" s="39">
        <f>$C$22-$C$19</f>
        <v>0.22800000000000001</v>
      </c>
      <c r="AU69" s="39">
        <v>-0.15</v>
      </c>
      <c r="AV69" s="39">
        <f>1-(1-$AU$69)*(1-$AT$69)/(1-($D$22-$D$19)/($D$25-$D$19))</f>
        <v>0.11220000000000008</v>
      </c>
      <c r="AW69" s="39">
        <f>($AV$69*$AS$69-$AU$69*$C$22)/($AV$69-$AU$69)</f>
        <v>0.11441647597254</v>
      </c>
      <c r="AX69" s="39">
        <f>($D$22-$C$39)/($D$25-$C$39)</f>
        <v>0</v>
      </c>
      <c r="AY69" s="39">
        <f>0.03*($C$39/$L$15&lt;2.71)</f>
        <v>0.03</v>
      </c>
      <c r="AZ69" s="39"/>
      <c r="BA69" s="39"/>
      <c r="BB69" s="39">
        <f>$D$19/$L$15-2.71</f>
        <v>-6.0000000000000053E-2</v>
      </c>
      <c r="BC69" s="39"/>
      <c r="BD69" s="39"/>
      <c r="BE69" s="39"/>
      <c r="BF69" s="39"/>
      <c r="BG69" s="39"/>
      <c r="BH69" s="39"/>
      <c r="BI69" s="39"/>
      <c r="BJ69" s="39"/>
      <c r="BK69" s="39">
        <f>$AW$69^$C$45*$B$22/$C$42</f>
        <v>0.15253121523001081</v>
      </c>
      <c r="BL69" s="39"/>
      <c r="BM69" s="39"/>
      <c r="BN69" s="39"/>
      <c r="BO69" s="39"/>
      <c r="BP69" s="39">
        <f>$J$28-$J$19</f>
        <v>0</v>
      </c>
      <c r="BQ69" s="39">
        <f>$J$22-$J$19</f>
        <v>0</v>
      </c>
      <c r="BR69" s="39">
        <f>$J$25-$J$28</f>
        <v>0</v>
      </c>
      <c r="BS69" s="39">
        <f>$I$25-$I$19</f>
        <v>0</v>
      </c>
      <c r="BT69" s="39"/>
      <c r="BU69" s="39"/>
      <c r="BV69" s="39"/>
      <c r="BW69" s="39"/>
      <c r="BX69" s="39"/>
      <c r="BY69" s="39">
        <f t="shared" si="7"/>
        <v>69</v>
      </c>
      <c r="BZ69" s="39"/>
      <c r="CA69" s="39">
        <f>$D$31-$D$34</f>
        <v>-220</v>
      </c>
      <c r="CB69" s="39">
        <f>$B$31-$B$34</f>
        <v>-1.3321149168364999</v>
      </c>
      <c r="CC69" s="39">
        <f>$D$25/$L$15</f>
        <v>1</v>
      </c>
      <c r="CD69" s="39">
        <f>$H$22/$D$22*$L$15</f>
        <v>3.2398490566037732</v>
      </c>
      <c r="CE69" s="39">
        <f>$F$31-$F$34</f>
        <v>3.2383555511368289E-2</v>
      </c>
      <c r="CF69" s="39"/>
      <c r="CG69" s="39">
        <f>$F$31*($G$37-$G$34)+$F$34*($G$31-$G$37)+$F$37*($G$34-$G$31)</f>
        <v>-3.0677820079541285E-3</v>
      </c>
      <c r="CH69" s="39">
        <f>$G$31-$G$34</f>
        <v>9.0944741532976825E-2</v>
      </c>
      <c r="CI69" s="39">
        <f>$G$37-$G$31</f>
        <v>-3.8234981392876177E-2</v>
      </c>
      <c r="CJ69" s="39"/>
      <c r="CK69" s="39">
        <f>$D$31*($H$37-$H$34)+$D$34*($H$31-$H$37)+$D$37*($H$34-$H$31)</f>
        <v>-1724.6000000000022</v>
      </c>
      <c r="CL69" s="39">
        <f>$H$31-$H$34</f>
        <v>-4.2199999999999989</v>
      </c>
      <c r="CM69" s="39">
        <f>$H$37-$H$31</f>
        <v>8.9900000000000055</v>
      </c>
      <c r="CN69" s="39"/>
      <c r="CO69" s="39"/>
      <c r="CP69" s="39"/>
      <c r="CQ69" s="39"/>
      <c r="CR69" s="39" t="s">
        <v>262</v>
      </c>
      <c r="CS69" s="39"/>
      <c r="CT69" s="39"/>
      <c r="CU69" s="39"/>
      <c r="CV69" s="39"/>
      <c r="CW69" s="39" t="s">
        <v>266</v>
      </c>
      <c r="CX69" s="39"/>
      <c r="CY69" s="39"/>
      <c r="CZ69" s="39"/>
      <c r="DA69" s="39"/>
      <c r="DB69" s="39" t="s">
        <v>268</v>
      </c>
      <c r="DC69" s="39"/>
      <c r="DD69" s="39" t="s">
        <v>344</v>
      </c>
      <c r="DE69" s="39">
        <f ca="1">SUM(DE72:DE84)</f>
        <v>133118.22244222675</v>
      </c>
      <c r="DF69" s="39"/>
      <c r="DG69" s="39" t="s">
        <v>335</v>
      </c>
      <c r="DH69" s="39"/>
      <c r="DI69" s="39"/>
      <c r="DJ69" s="59"/>
      <c r="DK69" s="39"/>
      <c r="DL69" s="39"/>
      <c r="DM69" s="39"/>
      <c r="DN69" s="39"/>
      <c r="DO69" s="39"/>
      <c r="DP69" s="39"/>
      <c r="DQ69" s="39"/>
      <c r="DR69" s="39" t="s">
        <v>335</v>
      </c>
      <c r="DS69" s="67"/>
      <c r="DT69" s="35"/>
    </row>
    <row r="70" spans="1:124">
      <c r="A70" s="128" t="s">
        <v>345</v>
      </c>
      <c r="B70" s="54" t="s">
        <v>346</v>
      </c>
      <c r="C70" s="54" t="s">
        <v>69</v>
      </c>
      <c r="D70" s="54" t="s">
        <v>70</v>
      </c>
      <c r="E70" s="54" t="s">
        <v>347</v>
      </c>
      <c r="F70" s="54" t="s">
        <v>487</v>
      </c>
      <c r="G70" s="54" t="s">
        <v>72</v>
      </c>
      <c r="H70" s="54" t="s">
        <v>73</v>
      </c>
      <c r="I70" s="54" t="s">
        <v>348</v>
      </c>
      <c r="J70" s="54" t="s">
        <v>92</v>
      </c>
      <c r="K70" s="54" t="s">
        <v>107</v>
      </c>
      <c r="L70" s="54" t="s">
        <v>349</v>
      </c>
      <c r="M70" s="38" t="s">
        <v>350</v>
      </c>
      <c r="N70" s="54" t="s">
        <v>351</v>
      </c>
      <c r="O70" s="54" t="s">
        <v>352</v>
      </c>
      <c r="P70" s="39" t="str">
        <f>IF($I$51,"Sw+ROS","         Sw")</f>
        <v xml:space="preserve">         Sw</v>
      </c>
      <c r="Q70" s="54" t="s">
        <v>353</v>
      </c>
      <c r="R70" s="54" t="s">
        <v>354</v>
      </c>
      <c r="S70" s="54" t="s">
        <v>355</v>
      </c>
      <c r="T70" s="54" t="s">
        <v>356</v>
      </c>
      <c r="U70" s="54" t="s">
        <v>357</v>
      </c>
      <c r="V70" s="54" t="s">
        <v>358</v>
      </c>
      <c r="W70" s="39" t="str">
        <f>$A$31</f>
        <v>QRTZ</v>
      </c>
      <c r="X70" s="39" t="str">
        <f>$A$34</f>
        <v>DOLO</v>
      </c>
      <c r="Y70" s="39" t="str">
        <f>$A$37</f>
        <v>LIME</v>
      </c>
      <c r="Z70" s="54" t="s">
        <v>359</v>
      </c>
      <c r="AA70" s="59" t="s">
        <v>360</v>
      </c>
      <c r="AB70" s="39" t="s">
        <v>361</v>
      </c>
      <c r="AC70" s="39" t="s">
        <v>362</v>
      </c>
      <c r="AD70" s="39" t="s">
        <v>363</v>
      </c>
      <c r="AE70" s="39" t="s">
        <v>364</v>
      </c>
      <c r="AF70" s="39" t="s">
        <v>365</v>
      </c>
      <c r="AG70" s="39" t="s">
        <v>366</v>
      </c>
      <c r="AH70" s="39" t="s">
        <v>367</v>
      </c>
      <c r="AI70" s="54" t="s">
        <v>368</v>
      </c>
      <c r="AJ70" s="54" t="s">
        <v>369</v>
      </c>
      <c r="AK70" s="54" t="s">
        <v>370</v>
      </c>
      <c r="AL70" s="54" t="s">
        <v>371</v>
      </c>
      <c r="AM70" s="54" t="s">
        <v>372</v>
      </c>
      <c r="AN70" s="54" t="s">
        <v>373</v>
      </c>
      <c r="AO70" s="39" t="s">
        <v>374</v>
      </c>
      <c r="AP70" s="39" t="s">
        <v>375</v>
      </c>
      <c r="AQ70" s="39" t="s">
        <v>376</v>
      </c>
      <c r="AR70" s="54" t="s">
        <v>377</v>
      </c>
      <c r="AS70" s="54" t="s">
        <v>378</v>
      </c>
      <c r="AT70" s="54" t="s">
        <v>379</v>
      </c>
      <c r="AU70" s="39" t="s">
        <v>380</v>
      </c>
      <c r="AV70" s="54" t="s">
        <v>381</v>
      </c>
      <c r="AW70" s="54" t="s">
        <v>382</v>
      </c>
      <c r="AX70" s="54" t="s">
        <v>378</v>
      </c>
      <c r="AY70" s="54" t="s">
        <v>379</v>
      </c>
      <c r="AZ70" s="39" t="s">
        <v>383</v>
      </c>
      <c r="BA70" s="54" t="s">
        <v>384</v>
      </c>
      <c r="BB70" s="39" t="s">
        <v>383</v>
      </c>
      <c r="BC70" s="39" t="s">
        <v>385</v>
      </c>
      <c r="BD70" s="39" t="s">
        <v>386</v>
      </c>
      <c r="BE70" s="54" t="s">
        <v>387</v>
      </c>
      <c r="BF70" s="39" t="s">
        <v>388</v>
      </c>
      <c r="BG70" s="54" t="s">
        <v>389</v>
      </c>
      <c r="BH70" s="54" t="s">
        <v>390</v>
      </c>
      <c r="BI70" s="54" t="s">
        <v>390</v>
      </c>
      <c r="BJ70" s="54" t="s">
        <v>390</v>
      </c>
      <c r="BK70" s="54" t="s">
        <v>391</v>
      </c>
      <c r="BL70" s="54" t="s">
        <v>391</v>
      </c>
      <c r="BM70" s="54" t="s">
        <v>392</v>
      </c>
      <c r="BN70" s="54" t="s">
        <v>393</v>
      </c>
      <c r="BO70" s="39" t="s">
        <v>394</v>
      </c>
      <c r="BP70" s="54" t="s">
        <v>395</v>
      </c>
      <c r="BQ70" s="39" t="s">
        <v>396</v>
      </c>
      <c r="BR70" s="39" t="s">
        <v>396</v>
      </c>
      <c r="BS70" s="39" t="s">
        <v>396</v>
      </c>
      <c r="BT70" s="54" t="s">
        <v>397</v>
      </c>
      <c r="BU70" s="54" t="s">
        <v>398</v>
      </c>
      <c r="BV70" s="39" t="s">
        <v>399</v>
      </c>
      <c r="BW70" s="39" t="s">
        <v>400</v>
      </c>
      <c r="BX70" s="39" t="s">
        <v>396</v>
      </c>
      <c r="BY70" s="39">
        <f t="shared" si="7"/>
        <v>70</v>
      </c>
      <c r="BZ70" s="39" t="s">
        <v>396</v>
      </c>
      <c r="CA70" s="54" t="s">
        <v>401</v>
      </c>
      <c r="CB70" s="54" t="s">
        <v>402</v>
      </c>
      <c r="CC70" s="54" t="s">
        <v>403</v>
      </c>
      <c r="CD70" s="54" t="s">
        <v>404</v>
      </c>
      <c r="CE70" s="54" t="s">
        <v>405</v>
      </c>
      <c r="CF70" s="54" t="s">
        <v>406</v>
      </c>
      <c r="CG70" s="54" t="s">
        <v>407</v>
      </c>
      <c r="CH70" s="54" t="s">
        <v>407</v>
      </c>
      <c r="CI70" s="54" t="s">
        <v>407</v>
      </c>
      <c r="CJ70" s="54" t="s">
        <v>407</v>
      </c>
      <c r="CK70" s="54" t="s">
        <v>408</v>
      </c>
      <c r="CL70" s="54" t="s">
        <v>408</v>
      </c>
      <c r="CM70" s="54" t="s">
        <v>408</v>
      </c>
      <c r="CN70" s="54" t="s">
        <v>408</v>
      </c>
      <c r="CO70" s="39" t="s">
        <v>409</v>
      </c>
      <c r="CP70" s="39"/>
      <c r="CQ70" s="39"/>
      <c r="CR70" s="54" t="s">
        <v>410</v>
      </c>
      <c r="CS70" s="54" t="s">
        <v>411</v>
      </c>
      <c r="CT70" s="54" t="s">
        <v>412</v>
      </c>
      <c r="CU70" s="54" t="s">
        <v>413</v>
      </c>
      <c r="CV70" s="39" t="s">
        <v>414</v>
      </c>
      <c r="CW70" s="54" t="s">
        <v>410</v>
      </c>
      <c r="CX70" s="54" t="s">
        <v>411</v>
      </c>
      <c r="CY70" s="54" t="s">
        <v>412</v>
      </c>
      <c r="CZ70" s="54" t="s">
        <v>413</v>
      </c>
      <c r="DA70" s="39" t="s">
        <v>414</v>
      </c>
      <c r="DB70" s="54" t="s">
        <v>410</v>
      </c>
      <c r="DC70" s="54" t="s">
        <v>411</v>
      </c>
      <c r="DD70" s="54" t="s">
        <v>412</v>
      </c>
      <c r="DE70" s="54" t="s">
        <v>413</v>
      </c>
      <c r="DF70" s="39" t="s">
        <v>414</v>
      </c>
      <c r="DG70" s="39" t="s">
        <v>335</v>
      </c>
      <c r="DH70" s="39"/>
      <c r="DI70" s="39"/>
      <c r="DJ70" s="59" t="s">
        <v>415</v>
      </c>
      <c r="DK70" s="39"/>
      <c r="DL70" s="39" t="s">
        <v>416</v>
      </c>
      <c r="DM70" s="39"/>
      <c r="DN70" s="39" t="s">
        <v>417</v>
      </c>
      <c r="DO70" s="39"/>
      <c r="DP70" s="39" t="s">
        <v>418</v>
      </c>
      <c r="DQ70" s="39"/>
      <c r="DR70" s="39" t="s">
        <v>335</v>
      </c>
      <c r="DS70" s="67"/>
      <c r="DT70" s="35"/>
    </row>
    <row r="71" spans="1:124" ht="13.5" thickBot="1">
      <c r="A71" s="128" t="str">
        <f>"   "&amp;$L$24</f>
        <v xml:space="preserve">   meters</v>
      </c>
      <c r="B71" s="39" t="str">
        <f>"   "&amp;$L$24</f>
        <v xml:space="preserve">   meters</v>
      </c>
      <c r="C71" s="54" t="s">
        <v>419</v>
      </c>
      <c r="D71" s="54" t="s">
        <v>420</v>
      </c>
      <c r="E71" s="54" t="s">
        <v>420</v>
      </c>
      <c r="F71" s="39" t="str">
        <f>"     "&amp;$L$25</f>
        <v xml:space="preserve">     us/m</v>
      </c>
      <c r="G71" s="54" t="s">
        <v>421</v>
      </c>
      <c r="H71" s="54" t="s">
        <v>422</v>
      </c>
      <c r="I71" s="54" t="s">
        <v>423</v>
      </c>
      <c r="J71" s="54" t="s">
        <v>78</v>
      </c>
      <c r="K71" s="54" t="s">
        <v>421</v>
      </c>
      <c r="L71" s="39" t="str">
        <f>"     "&amp;$L$24</f>
        <v xml:space="preserve">     meters</v>
      </c>
      <c r="M71" s="59" t="str">
        <f>"    "&amp;$L$24</f>
        <v xml:space="preserve">    meters</v>
      </c>
      <c r="N71" s="54" t="s">
        <v>424</v>
      </c>
      <c r="O71" s="54" t="s">
        <v>424</v>
      </c>
      <c r="P71" s="54" t="s">
        <v>424</v>
      </c>
      <c r="Q71" s="54" t="s">
        <v>425</v>
      </c>
      <c r="R71" s="54" t="s">
        <v>426</v>
      </c>
      <c r="S71" s="54" t="s">
        <v>424</v>
      </c>
      <c r="T71" s="54" t="s">
        <v>427</v>
      </c>
      <c r="U71" s="54" t="s">
        <v>428</v>
      </c>
      <c r="V71" s="39" t="str">
        <f>"   "&amp;$L$28</f>
        <v xml:space="preserve">   Kg/m3</v>
      </c>
      <c r="W71" s="54" t="s">
        <v>424</v>
      </c>
      <c r="X71" s="54" t="s">
        <v>424</v>
      </c>
      <c r="Y71" s="54" t="s">
        <v>424</v>
      </c>
      <c r="Z71" s="39" t="str">
        <f>"       "&amp;$L$24</f>
        <v xml:space="preserve">       meters</v>
      </c>
      <c r="AA71" s="38" t="s">
        <v>426</v>
      </c>
      <c r="AB71" s="54" t="s">
        <v>424</v>
      </c>
      <c r="AC71" s="54" t="s">
        <v>424</v>
      </c>
      <c r="AD71" s="54" t="s">
        <v>424</v>
      </c>
      <c r="AE71" s="54" t="s">
        <v>424</v>
      </c>
      <c r="AF71" s="54" t="s">
        <v>424</v>
      </c>
      <c r="AG71" s="54" t="s">
        <v>424</v>
      </c>
      <c r="AH71" s="54" t="s">
        <v>424</v>
      </c>
      <c r="AI71" s="39" t="str">
        <f>"            "&amp;$L$30</f>
        <v xml:space="preserve">            'C</v>
      </c>
      <c r="AJ71" s="39"/>
      <c r="AK71" s="39"/>
      <c r="AL71" s="39"/>
      <c r="AM71" s="39"/>
      <c r="AN71" s="39"/>
      <c r="AO71" s="39"/>
      <c r="AP71" s="39" t="s">
        <v>429</v>
      </c>
      <c r="AQ71" s="39"/>
      <c r="AR71" s="39"/>
      <c r="AS71" s="39"/>
      <c r="AT71" s="39"/>
      <c r="AU71" s="39"/>
      <c r="AV71" s="39">
        <f>$AV$69-$AU$69</f>
        <v>0.2622000000000001</v>
      </c>
      <c r="AW71" s="39"/>
      <c r="AX71" s="39" t="s">
        <v>430</v>
      </c>
      <c r="AY71" s="39"/>
      <c r="AZ71" s="54" t="s">
        <v>431</v>
      </c>
      <c r="BA71" s="54" t="s">
        <v>432</v>
      </c>
      <c r="BB71" s="54" t="s">
        <v>433</v>
      </c>
      <c r="BC71" s="39" t="s">
        <v>434</v>
      </c>
      <c r="BD71" s="39"/>
      <c r="BE71" s="39"/>
      <c r="BF71" s="39" t="s">
        <v>435</v>
      </c>
      <c r="BG71" s="39"/>
      <c r="BH71" s="39" t="s">
        <v>436</v>
      </c>
      <c r="BI71" s="39" t="s">
        <v>437</v>
      </c>
      <c r="BJ71" s="39"/>
      <c r="BK71" s="39" t="s">
        <v>436</v>
      </c>
      <c r="BL71" s="54" t="s">
        <v>438</v>
      </c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 t="s">
        <v>439</v>
      </c>
      <c r="BX71" s="39"/>
      <c r="BY71" s="39">
        <f t="shared" si="7"/>
        <v>71</v>
      </c>
      <c r="BZ71" s="39"/>
      <c r="CA71" s="54" t="s">
        <v>440</v>
      </c>
      <c r="CB71" s="54" t="s">
        <v>440</v>
      </c>
      <c r="CC71" s="39"/>
      <c r="CD71" s="39"/>
      <c r="CE71" s="54" t="s">
        <v>440</v>
      </c>
      <c r="CF71" s="54" t="s">
        <v>440</v>
      </c>
      <c r="CG71" s="54" t="s">
        <v>441</v>
      </c>
      <c r="CH71" s="54" t="s">
        <v>442</v>
      </c>
      <c r="CI71" s="54" t="s">
        <v>440</v>
      </c>
      <c r="CJ71" s="54" t="s">
        <v>443</v>
      </c>
      <c r="CK71" s="54" t="s">
        <v>441</v>
      </c>
      <c r="CL71" s="54" t="s">
        <v>442</v>
      </c>
      <c r="CM71" s="54" t="s">
        <v>440</v>
      </c>
      <c r="CN71" s="54" t="s">
        <v>443</v>
      </c>
      <c r="CO71" s="39" t="s">
        <v>444</v>
      </c>
      <c r="CP71" s="39" t="s">
        <v>445</v>
      </c>
      <c r="CQ71" s="39" t="s">
        <v>446</v>
      </c>
      <c r="CR71" s="39"/>
      <c r="CS71" s="39"/>
      <c r="CT71" s="39"/>
      <c r="CU71" s="39" t="s">
        <v>447</v>
      </c>
      <c r="CV71" s="39"/>
      <c r="CW71" s="39"/>
      <c r="CX71" s="39"/>
      <c r="CY71" s="39"/>
      <c r="CZ71" s="39" t="s">
        <v>447</v>
      </c>
      <c r="DA71" s="39"/>
      <c r="DB71" s="39"/>
      <c r="DC71" s="39"/>
      <c r="DD71" s="39"/>
      <c r="DE71" s="39" t="s">
        <v>447</v>
      </c>
      <c r="DF71" s="39"/>
      <c r="DG71" s="39" t="s">
        <v>335</v>
      </c>
      <c r="DH71" s="39"/>
      <c r="DI71" s="39"/>
      <c r="DJ71" s="59"/>
      <c r="DK71" s="39"/>
      <c r="DL71" s="39"/>
      <c r="DM71" s="39"/>
      <c r="DN71" s="39"/>
      <c r="DO71" s="39"/>
      <c r="DP71" s="39"/>
      <c r="DQ71" s="39"/>
      <c r="DR71" s="39" t="s">
        <v>335</v>
      </c>
      <c r="DS71" s="67"/>
      <c r="DT71" s="35"/>
    </row>
    <row r="72" spans="1:124" ht="14.25" thickTop="1" thickBot="1">
      <c r="A72" s="129"/>
      <c r="B72" s="68"/>
      <c r="C72" s="68"/>
      <c r="D72" s="68"/>
      <c r="E72" s="68"/>
      <c r="F72" s="68"/>
      <c r="G72" s="68"/>
      <c r="H72" s="68"/>
      <c r="I72" s="68"/>
      <c r="J72" s="69"/>
      <c r="K72" s="69"/>
      <c r="L72" s="69"/>
      <c r="M72" s="25"/>
      <c r="N72" s="26"/>
      <c r="O72" s="26"/>
      <c r="P72" s="26"/>
      <c r="Q72" s="26"/>
      <c r="R72" s="26"/>
      <c r="S72" s="26"/>
      <c r="T72" s="26"/>
      <c r="U72" s="70">
        <f ca="1">T87</f>
        <v>133118.22244222675</v>
      </c>
      <c r="V72" s="26"/>
      <c r="W72" s="26"/>
      <c r="X72" s="26"/>
      <c r="Y72" s="26"/>
      <c r="Z72" s="26"/>
      <c r="AA72" s="25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 t="s">
        <v>448</v>
      </c>
      <c r="AT72" s="26"/>
      <c r="AU72" s="26"/>
      <c r="AV72" s="26" t="s">
        <v>449</v>
      </c>
      <c r="AW72" s="26"/>
      <c r="AX72" s="26" t="s">
        <v>450</v>
      </c>
      <c r="AY72" s="26"/>
      <c r="AZ72" s="26"/>
      <c r="BA72" s="26"/>
      <c r="BB72" s="26"/>
      <c r="BC72" s="26" t="s">
        <v>451</v>
      </c>
      <c r="BD72" s="26"/>
      <c r="BE72" s="26"/>
      <c r="BF72" s="26"/>
      <c r="BG72" s="26" t="s">
        <v>452</v>
      </c>
      <c r="BH72" s="26" t="s">
        <v>453</v>
      </c>
      <c r="BI72" s="26"/>
      <c r="BJ72" s="26"/>
      <c r="BK72" s="26" t="s">
        <v>454</v>
      </c>
      <c r="BL72" s="26"/>
      <c r="BM72" s="26"/>
      <c r="BN72" s="26"/>
      <c r="BO72" s="26" t="s">
        <v>455</v>
      </c>
      <c r="BP72" s="26"/>
      <c r="BQ72" s="26"/>
      <c r="BR72" s="26"/>
      <c r="BS72" s="26"/>
      <c r="BT72" s="26"/>
      <c r="BU72" s="26"/>
      <c r="BV72" s="26"/>
      <c r="BW72" s="26"/>
      <c r="BX72" s="26"/>
      <c r="BY72" s="26">
        <f t="shared" si="7"/>
        <v>72</v>
      </c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 t="s">
        <v>335</v>
      </c>
      <c r="DH72" s="26"/>
      <c r="DI72" s="26"/>
      <c r="DJ72" s="26" t="s">
        <v>456</v>
      </c>
      <c r="DK72" s="26" t="s">
        <v>457</v>
      </c>
      <c r="DL72" s="26" t="s">
        <v>458</v>
      </c>
      <c r="DM72" s="26" t="s">
        <v>457</v>
      </c>
      <c r="DN72" s="26" t="s">
        <v>459</v>
      </c>
      <c r="DO72" s="26" t="s">
        <v>460</v>
      </c>
      <c r="DP72" s="26" t="s">
        <v>461</v>
      </c>
      <c r="DQ72" s="26" t="s">
        <v>462</v>
      </c>
      <c r="DR72" s="26" t="s">
        <v>463</v>
      </c>
      <c r="DS72" s="67"/>
      <c r="DT72" s="35"/>
    </row>
    <row r="73" spans="1:124" ht="13.5" thickTop="1">
      <c r="A73" s="130">
        <v>540</v>
      </c>
      <c r="B73" s="71">
        <v>545</v>
      </c>
      <c r="C73" s="71">
        <v>8</v>
      </c>
      <c r="D73" s="72">
        <v>0.3</v>
      </c>
      <c r="E73" s="72">
        <v>0</v>
      </c>
      <c r="F73" s="71">
        <v>180</v>
      </c>
      <c r="G73" s="71">
        <v>100</v>
      </c>
      <c r="H73" s="71">
        <v>0</v>
      </c>
      <c r="I73" s="36">
        <v>3.2</v>
      </c>
      <c r="J73" s="71">
        <v>32</v>
      </c>
      <c r="K73" s="71">
        <v>100</v>
      </c>
      <c r="L73" s="71">
        <v>1010</v>
      </c>
      <c r="M73" s="33">
        <f t="shared" ref="M73:M80" si="8">B73-A73</f>
        <v>5</v>
      </c>
      <c r="N73" s="34">
        <f t="shared" ref="N73:N80" si="9">IF($A$59,0,AN73)</f>
        <v>1</v>
      </c>
      <c r="O73" s="73">
        <f t="shared" ref="O73:O80" ca="1" si="10">MAX(0,MIN(BF73,$G$51*(1-N73)))</f>
        <v>0</v>
      </c>
      <c r="P73" s="34">
        <f t="shared" ref="P73:P80" ca="1" si="11">IF(N73&gt;0.85,1,MAX(0.02,MIN(1,$G$43+INDIRECT(IF($E$62,"BO",IF($E$61,"BN",IF($E$60,"BJ",IF($E$59,"BG","BO"))))&amp;FIXED(BY73,0,TRUE)))))</f>
        <v>1</v>
      </c>
      <c r="Q73" s="74">
        <f t="shared" ref="Q73:Q80" ca="1" si="12">MAX(0.01,INDIRECT(IF($G$62,"BW",IF($G$61,"BV",IF($G$60,"BU","BT")))&amp;FIXED(BY73,0,TRUE)))</f>
        <v>0.01</v>
      </c>
      <c r="R73" s="34">
        <f t="shared" ref="R73:R80" ca="1" si="13">((O73+0.0001)^$C$45)/($C$42*(1-N73+0.0001))/(1/C73-N73/$B$22)</f>
        <v>1.62057189129651E-3</v>
      </c>
      <c r="S73" s="34">
        <f t="shared" ref="S73:S80" ca="1" si="14">O73*(P73-$G$43)</f>
        <v>0</v>
      </c>
      <c r="T73" s="93" t="str">
        <f ca="1">IF(CQ73=0,IF(N73&gt;$O$8,"SHALY",IF((O73&lt;$P$8)+(Q73&lt;$R$8),"TIGHT","  WET")),IF(S73&lt;1.2*$C$51/(1-N73+0.01),IF($I$51,"  GAS","  OIL"),"  H2O"))</f>
        <v>SHALY</v>
      </c>
      <c r="U73" s="74">
        <f t="shared" ref="U73:U80" ca="1" si="15">(U72-DE72)</f>
        <v>133118.22244222675</v>
      </c>
      <c r="V73" s="74">
        <f t="shared" ref="V73:V80" si="16">IF(N73&gt;0.85,AO73,(AO73-O73*$D$25-N73*$D$22)/(1-O73-N73))</f>
        <v>2650</v>
      </c>
      <c r="W73" s="34">
        <f t="shared" ref="W73:W80" ca="1" si="17">MAX(0,MIN(1,INDIRECT(IF($I$65,"CM",IF($I$64,"CI",IF($I$63,"CF",IF($I$62,"CE",IF($I$61,"CB","CA")))))&amp;FIXED(BY73,0,TRUE))))</f>
        <v>0.89520412260992421</v>
      </c>
      <c r="X73" s="34">
        <f t="shared" ref="X73:X80" si="18">IF($I$65,CN73,IF($I$64,CJ73,1-W73))</f>
        <v>0.10479587739007572</v>
      </c>
      <c r="Y73" s="34">
        <f t="shared" ref="Y73:Y80" ca="1" si="19">1-W73-X73</f>
        <v>0</v>
      </c>
      <c r="Z73" s="74">
        <f t="shared" ref="Z73:Z80" si="20">L73-A73</f>
        <v>470</v>
      </c>
      <c r="AA73" s="31">
        <f t="shared" ref="AA73:AA80" si="21">$AN$69/(AI73+$L$6)</f>
        <v>0.23505494505494506</v>
      </c>
      <c r="AB73" s="32">
        <f t="shared" ref="AB73:AB80" ca="1" si="22">$D$28*O73*(1-P73)</f>
        <v>0</v>
      </c>
      <c r="AC73" s="32">
        <f t="shared" ref="AC73:AC80" ca="1" si="23">$D$25*O73*P73</f>
        <v>0</v>
      </c>
      <c r="AD73" s="75">
        <f t="shared" ref="AD73:AD80" si="24">$D$22*N73</f>
        <v>2650</v>
      </c>
      <c r="AE73" s="75">
        <f t="shared" ref="AE73:AE80" ca="1" si="25">$D$19*(1-N73-O73)</f>
        <v>0</v>
      </c>
      <c r="AF73" s="75">
        <f t="shared" ref="AF73:AF80" ca="1" si="26">SUM(AB73:AE73)</f>
        <v>2650</v>
      </c>
      <c r="AG73" s="32">
        <f t="shared" ref="AG73:AG80" ca="1" si="27">AB73/AF73</f>
        <v>0</v>
      </c>
      <c r="AH73" s="32" t="str">
        <f t="shared" ref="AH73:AH80" ca="1" si="28">IF(AG73&gt;=$A$56," TAR PAY","    NO")</f>
        <v xml:space="preserve">    NO</v>
      </c>
      <c r="AI73" s="32">
        <f t="shared" ref="AI73:AI80" si="29">$A$42+$AI$69*A73</f>
        <v>24</v>
      </c>
      <c r="AJ73" s="32">
        <f t="shared" ref="AJ73:AJ80" si="30">IF($A$60,(G73-J73)/(K73-J73),1)</f>
        <v>1</v>
      </c>
      <c r="AK73" s="32">
        <f t="shared" ref="AK73:AK80" si="31">IF($A$61,1.7-(3.38-(MIN(1,MAX(0,AJ73))+0.7)^2)^0.5,1)</f>
        <v>1</v>
      </c>
      <c r="AL73" s="32">
        <f t="shared" ref="AL73:AL80" si="32">IF($A$62,(H73-$G$19)/$AL$69,1)</f>
        <v>1</v>
      </c>
      <c r="AM73" s="32">
        <f t="shared" ref="AM73:AM80" si="33">IF(OR(OR(ISNA(D73),ISNA(E73)),$A$63=0),1,(AQ73-AP73)/$AM$69)</f>
        <v>1.4385964912280702</v>
      </c>
      <c r="AN73" s="32">
        <f t="shared" ref="AN73:AN80" si="34">MAX(0,MIN(1,AJ73:AM73))</f>
        <v>1</v>
      </c>
      <c r="AO73" s="32">
        <f t="shared" ref="AO73:AO80" si="35">E73*$L$15+(1-E73)*$C$39</f>
        <v>2650</v>
      </c>
      <c r="AP73" s="32">
        <f t="shared" ref="AP73:AP80" si="36">(AO73-$D$19)/$AP$69</f>
        <v>0</v>
      </c>
      <c r="AQ73" s="32">
        <f t="shared" ref="AQ73:AQ80" si="37">D73-$C$19</f>
        <v>0.32800000000000001</v>
      </c>
      <c r="AR73" s="32">
        <f t="shared" ref="AR73:AR80" si="38">(F73-(1-N73)*$E$19-N73*$E$22)/$AR$69</f>
        <v>-0.11423396226415052</v>
      </c>
      <c r="AS73" s="32">
        <f t="shared" ref="AS73:AS80" si="39">(AP73-N73*$AS$69)*$I$45</f>
        <v>0</v>
      </c>
      <c r="AT73" s="32">
        <f t="shared" ref="AT73:AT80" si="40">(+AQ73-N73*$AT$69)*$I$42</f>
        <v>0.1</v>
      </c>
      <c r="AU73" s="32">
        <f t="shared" ref="AU73:AU80" si="41">IF(AQ73&gt;=AP73,(AP73*$AT$69-AQ73*$AS$69)/$AQ$69,((AQ73^2+AP73^2)/2)^0.5)</f>
        <v>0</v>
      </c>
      <c r="AV73" s="32">
        <f t="shared" ref="AV73:AV80" si="42">MAX(0,($AV$69*AP73-$AU$69*AQ73)/$AV$71)</f>
        <v>0.1876430205949656</v>
      </c>
      <c r="AW73" s="32">
        <f t="shared" ref="AW73:AW80" si="43">AV73-N73*$AW$69</f>
        <v>7.3226544622425602E-2</v>
      </c>
      <c r="AX73" s="32">
        <f t="shared" ref="AX73:AX80" si="44">(E73-N73*$AX$69)+$AY$69</f>
        <v>0.03</v>
      </c>
      <c r="AY73" s="32">
        <f t="shared" ref="AY73:AY80" si="45">MAX(0,(D73-N73*$C$22)-$AY$69)</f>
        <v>6.9999999999999979E-2</v>
      </c>
      <c r="AZ73" s="32">
        <f t="shared" ref="AZ73:AZ80" si="46">((4-(3.3+10^(-5*AY73-0.16)))*AX73+0.754*AY73)/((4-(3.3+10^(-5*AY73-0.16)))+0.754)</f>
        <v>5.6341291010813477E-2</v>
      </c>
      <c r="BA73" s="32">
        <f t="shared" ref="BA73:BA80" si="47">IF(N73&gt;0.85,AO73,(AO73-AZ73*$D$25-N73*$D$22)/(1-AZ73-N73))</f>
        <v>2650</v>
      </c>
      <c r="BB73" s="32">
        <f t="shared" ref="BB73:BB80" si="48">MAX(AZ73,IF(BA73&lt;$D$19,-AX73/(AY73/0.8-1)/(1+AX73/(0.8-AY73))+2*(0.3-AZ73)*$BB$69,0))</f>
        <v>5.6341291010813477E-2</v>
      </c>
      <c r="BC73" s="32">
        <f t="shared" ref="BC73:BC80" ca="1" si="49">($D$31*W73+$D$34*X73+$D$37*Y73)*(1-N73)+N73*$D$22</f>
        <v>2650</v>
      </c>
      <c r="BD73" s="32">
        <f t="shared" ref="BD73:BD80" ca="1" si="50">(AO73-BC73)/($D$25-BC73)</f>
        <v>0</v>
      </c>
      <c r="BE73" s="32">
        <f t="shared" ref="BE73:BE80" si="51">$G$51*(1-N73)</f>
        <v>0</v>
      </c>
      <c r="BF73" s="32">
        <f t="shared" ref="BF73:BF80" ca="1" si="52">INDIRECT(IF($C$66,"BE",IF($C$65,"BD",IF($C$64,"BB",IF($C$63,"AW",IF($C$62,"AU",IF($C$61,"AT",IF($C$60,"AS","AR")))))))&amp;FIXED(BY73,0,TRUE))</f>
        <v>5.6341291010813477E-2</v>
      </c>
      <c r="BG73" s="32">
        <f t="shared" ref="BG73:BG80" ca="1" si="53">($C$42*AA73/(C73*((O73+0.0001)^$C$45)))^(1/$C$48)</f>
        <v>2692.9950019046537</v>
      </c>
      <c r="BH73" s="32">
        <f t="shared" ref="BH73:BH80" ca="1" si="54">$C$42*AA73*(1-N73)/((O73+0.0001)^$C$45)</f>
        <v>0</v>
      </c>
      <c r="BI73" s="32">
        <f t="shared" ref="BI73:BI80" ca="1" si="55">BH73*N73/(2*$B$22)</f>
        <v>0</v>
      </c>
      <c r="BJ73" s="32">
        <f t="shared" ref="BJ73:BJ80" ca="1" si="56">(((BI73^2)+BH73/C73)^0.5-BI73)^(2/$C$48)</f>
        <v>0</v>
      </c>
      <c r="BK73" s="32">
        <f t="shared" ref="BK73:BK80" si="57">MAX(0.5,1+($AW$69*N73/(AV73+0.0001)*(AA73-$BK$69)/$BK$69))</f>
        <v>1.3297196913545584</v>
      </c>
      <c r="BL73" s="32">
        <f t="shared" ref="BL73:BL80" si="58">$C$42*AA73/((AV73+0.0001)^$C$45)*BK73</f>
        <v>7.0657620825737393</v>
      </c>
      <c r="BM73" s="32">
        <f t="shared" ref="BM73:BM80" si="59">MIN(1,(BL73/C73)^(1/$C$48))</f>
        <v>0.93979798910282708</v>
      </c>
      <c r="BN73" s="32">
        <f t="shared" ref="BN73:BN80" ca="1" si="60">IF((AV73*BM73-$AW$69*N73)/(O73+0.0001)&lt;0.02,1,(AV73*BM73-$AW$69*N73)/(O73+0.0001))</f>
        <v>619.30057451789048</v>
      </c>
      <c r="BO73" s="32">
        <f t="shared" ref="BO73:BO80" ca="1" si="61">IF(O73&gt;0.001,$C$51/O73/(1-N73),1)</f>
        <v>1</v>
      </c>
      <c r="BP73" s="32">
        <f t="shared" ref="BP73:BP80" ca="1" si="62">IF(O73&gt;0.001,MIN(S73/O73,BO73,1),1)</f>
        <v>1</v>
      </c>
      <c r="BQ73" s="32" t="e">
        <f>NA()</f>
        <v>#N/A</v>
      </c>
      <c r="BR73" s="32" t="e">
        <f>NA()</f>
        <v>#N/A</v>
      </c>
      <c r="BS73" s="32" t="e">
        <f>NA()</f>
        <v>#N/A</v>
      </c>
      <c r="BT73" s="32">
        <f t="shared" ref="BT73:BT80" ca="1" si="63">$G$48*(O73^6)/(BP73^2)</f>
        <v>0</v>
      </c>
      <c r="BU73" s="32">
        <f t="shared" ref="BU73:BU80" ca="1" si="64">$G$48/19*(O73^4.4)/(BP73^2)</f>
        <v>0</v>
      </c>
      <c r="BV73" s="32">
        <f t="shared" ref="BV73:BV80" ca="1" si="65">IF(O73,+$G$48/20*O73^4*(AV73/BP73/O73-1)^2,0)</f>
        <v>0</v>
      </c>
      <c r="BW73" s="32">
        <f t="shared" ref="BW73:BW80" ca="1" si="66">10^($H$64*O73+$H$65)</f>
        <v>0.01</v>
      </c>
      <c r="BX73" s="32" t="e">
        <f>NA()</f>
        <v>#N/A</v>
      </c>
      <c r="BY73" s="32">
        <f t="shared" si="7"/>
        <v>73</v>
      </c>
      <c r="BZ73" s="32" t="e">
        <f>NA()</f>
        <v>#N/A</v>
      </c>
      <c r="CA73" s="32">
        <f t="shared" ref="CA73:CA80" si="67">(V73-$D$34)/$CA$69</f>
        <v>1</v>
      </c>
      <c r="CB73" s="32">
        <f t="shared" ref="CB73:CB80" si="68">(I73-$B$34-$CD$69*N73)/$CB$69</f>
        <v>2.3839816807153991</v>
      </c>
      <c r="CC73" s="32">
        <f t="shared" ref="CC73:CC80" si="69">0.01*(188-(AR73*188+(1-AR73)*47.3))/(AX73+(1-AX73)*2.71-$CC$69)</f>
        <v>0.94515414776973539</v>
      </c>
      <c r="CD73" s="32">
        <f t="shared" ref="CD73:CD80" si="70">(1-AY73)/(AX73+(1-AX73)*2.71-$CC$69)</f>
        <v>0.56068005064206927</v>
      </c>
      <c r="CE73" s="32">
        <f t="shared" ref="CE73:CE80" si="71">(CC73-$F$34)/$CE$69</f>
        <v>5.3887659182309227</v>
      </c>
      <c r="CF73" s="32">
        <f t="shared" ref="CF73:CF80" si="72">(CD73-$G$34)/$CH$69</f>
        <v>0.31441608016857803</v>
      </c>
      <c r="CG73" s="32">
        <f t="shared" ref="CG73:CG80" si="73">(-CC73*$CH$69+CD73*$CE$69+$F$34*$G$31-$F$31*$G$34)/$CG$69</f>
        <v>4.8714475624782496</v>
      </c>
      <c r="CH73" s="32">
        <f t="shared" ref="CH73:CH80" si="74">(CG73*$CI$69-CD73+$G$31)/$CH$69</f>
        <v>-1.3624696978721322</v>
      </c>
      <c r="CI73" s="32">
        <f t="shared" ref="CI73:CI80" si="75">MAX(0,1-CG73-CH73)/(MAX(0,1-CG73-CH73)+MAX(0,CH73)+MAX(0,CG73))</f>
        <v>0</v>
      </c>
      <c r="CJ73" s="32">
        <f t="shared" ref="CJ73:CJ80" si="76">MAX(0,CH73)/(MAX(0,1-CG73-CH73)+MAX(0,CG73)+MAX(0,CH73))</f>
        <v>0</v>
      </c>
      <c r="CK73" s="32">
        <f t="shared" ref="CK73:CK80" si="77">(-BA73*$CL$69+((I73*AO73/$L$15-$H$22*N73)/(1-BB73))*$CA$69+$D$34*$H$31-$D$31*$H$34)/$CK$69</f>
        <v>-0.62403981804387343</v>
      </c>
      <c r="CL73" s="32">
        <f t="shared" ref="CL73:CL80" si="78">(CK73*$CM$69-((I73*AO73/$L$15-$H$22*N73)/(1-BB73))+$H$31)/$CL$69</f>
        <v>0.17019267764832663</v>
      </c>
      <c r="CM73" s="32">
        <f t="shared" ref="CM73:CM80" si="79">MAX(0,1-CK73-CL73)/(MAX(0,1-CK73-CL73)+MAX(0,CL73)+MAX(0,CK73))</f>
        <v>0.89520412260992421</v>
      </c>
      <c r="CN73" s="32">
        <f t="shared" ref="CN73:CN80" si="80">MAX(0,CL73)/(MAX(0,1-CK73-CL73)+MAX(0,CK73)+MAX(0,CL73))</f>
        <v>0.10479587739007572</v>
      </c>
      <c r="CO73" s="94">
        <f ca="1">(N73&lt;=$O$6)*(O73&gt;=$P$6)*(P73&lt;=$Q$6)*(Q73&gt;=$R$6)*(A73&gt;=$O$9)*(B73&lt;=$Q$9)</f>
        <v>1</v>
      </c>
      <c r="CP73" s="94">
        <f ca="1">(N73&lt;=$O$7)*(O73&gt;=$P$7)*(P73&lt;=$Q$7)*(Q73&gt;=$R$7)*(A73&gt;=$O$9)*(B73&lt;=$Q$9)</f>
        <v>0</v>
      </c>
      <c r="CQ73" s="94">
        <f ca="1">(N73&lt;=$O$8)*(O73&gt;=$P$8)*(P73&lt;=$Q$8)*(Q73&gt;=$R$8)*(A73&gt;=$O$9)*(B73&lt;=$Q$9)</f>
        <v>0</v>
      </c>
      <c r="CR73" s="32">
        <f t="shared" ref="CR73:CR80" ca="1" si="81">$M73*$N73*CO73</f>
        <v>5</v>
      </c>
      <c r="CS73" s="32">
        <f t="shared" ref="CS73:CS80" ca="1" si="82">$O73*$M73*CO73</f>
        <v>0</v>
      </c>
      <c r="CT73" s="32">
        <f t="shared" ref="CT73:CT80" ca="1" si="83">CS73*(1-$P73)*CO73</f>
        <v>0</v>
      </c>
      <c r="CU73" s="32">
        <f t="shared" ref="CU73:CU80" ca="1" si="84">$Q73*$M73*CO73</f>
        <v>0.05</v>
      </c>
      <c r="CV73" s="32">
        <f t="shared" ref="CV73:CV80" ca="1" si="85">$M73*CO73</f>
        <v>5</v>
      </c>
      <c r="CW73" s="32">
        <f t="shared" ref="CW73:CW80" ca="1" si="86">$M73*$N73*CP73</f>
        <v>0</v>
      </c>
      <c r="CX73" s="32">
        <f t="shared" ref="CX73:CX80" ca="1" si="87">$O73*$M73*CP73</f>
        <v>0</v>
      </c>
      <c r="CY73" s="32">
        <f t="shared" ref="CY73:CY80" ca="1" si="88">CX73*(1-$P73)*CP73</f>
        <v>0</v>
      </c>
      <c r="CZ73" s="32">
        <f t="shared" ref="CZ73:CZ80" ca="1" si="89">$Q73*$M73*CP73</f>
        <v>0</v>
      </c>
      <c r="DA73" s="32">
        <f t="shared" ref="DA73:DA80" ca="1" si="90">$M73*CP73</f>
        <v>0</v>
      </c>
      <c r="DB73" s="32">
        <f t="shared" ref="DB73:DB80" ca="1" si="91">$M73*$N73*CQ73</f>
        <v>0</v>
      </c>
      <c r="DC73" s="32">
        <f t="shared" ref="DC73:DC80" ca="1" si="92">$O73*$M73*CQ73</f>
        <v>0</v>
      </c>
      <c r="DD73" s="32">
        <f t="shared" ref="DD73:DD80" ca="1" si="93">DC73*(1-$P73)*CQ73</f>
        <v>0</v>
      </c>
      <c r="DE73" s="32">
        <f t="shared" ref="DE73:DE80" ca="1" si="94">$Q73*$M73*CQ73</f>
        <v>0</v>
      </c>
      <c r="DF73" s="32">
        <f t="shared" ref="DF73:DF80" ca="1" si="95">$M73*CQ73</f>
        <v>0</v>
      </c>
      <c r="DG73" s="32" t="s">
        <v>335</v>
      </c>
      <c r="DH73" s="32">
        <v>169</v>
      </c>
      <c r="DI73" s="32">
        <v>2052.9</v>
      </c>
      <c r="DJ73" s="32">
        <f t="shared" ref="DJ73:DJ80" ca="1" si="96">P73</f>
        <v>1</v>
      </c>
      <c r="DK73" s="32">
        <f t="shared" ref="DK73:DK80" ca="1" si="97">O73</f>
        <v>0</v>
      </c>
      <c r="DL73" s="32">
        <f t="shared" ref="DL73:DL80" ca="1" si="98">Q73</f>
        <v>0.01</v>
      </c>
      <c r="DM73" s="32">
        <f t="shared" ref="DM73:DM80" ca="1" si="99">O73</f>
        <v>0</v>
      </c>
      <c r="DN73" s="32">
        <f t="shared" ref="DN73:DO80" si="100">D73</f>
        <v>0.3</v>
      </c>
      <c r="DO73" s="32">
        <f t="shared" si="100"/>
        <v>0</v>
      </c>
      <c r="DP73" s="32">
        <f t="shared" ref="DP73:DP80" si="101">C73</f>
        <v>8</v>
      </c>
      <c r="DQ73" s="32">
        <f t="shared" ref="DQ73:DQ80" ca="1" si="102">O73</f>
        <v>0</v>
      </c>
      <c r="DR73" s="32">
        <f ca="1">IF($AH73=" TAR PAY",M73*AG73,0)</f>
        <v>0</v>
      </c>
      <c r="DS73" s="31">
        <f ca="1">IF($AH73=" TAR PAY",M73,0)</f>
        <v>0</v>
      </c>
      <c r="DT73" s="35"/>
    </row>
    <row r="74" spans="1:124">
      <c r="A74" s="131">
        <v>545</v>
      </c>
      <c r="B74" s="90">
        <v>550</v>
      </c>
      <c r="C74" s="90">
        <v>182.9</v>
      </c>
      <c r="D74" s="91">
        <v>0.02</v>
      </c>
      <c r="E74" s="91">
        <v>-0.15</v>
      </c>
      <c r="F74" s="90">
        <f>51.5*$L$9</f>
        <v>168.96325459317566</v>
      </c>
      <c r="G74" s="90">
        <v>36</v>
      </c>
      <c r="H74" s="90">
        <v>-47</v>
      </c>
      <c r="I74" s="92">
        <v>4</v>
      </c>
      <c r="J74" s="90">
        <v>32</v>
      </c>
      <c r="K74" s="90">
        <v>100</v>
      </c>
      <c r="L74" s="90">
        <v>1010</v>
      </c>
      <c r="M74" s="33">
        <f t="shared" si="8"/>
        <v>5</v>
      </c>
      <c r="N74" s="34">
        <f t="shared" si="9"/>
        <v>5.8823529411764705E-2</v>
      </c>
      <c r="O74" s="73">
        <f t="shared" ca="1" si="10"/>
        <v>0</v>
      </c>
      <c r="P74" s="34">
        <f t="shared" ca="1" si="11"/>
        <v>0.9294669610389974</v>
      </c>
      <c r="Q74" s="74">
        <f t="shared" ca="1" si="12"/>
        <v>0.01</v>
      </c>
      <c r="R74" s="34">
        <f t="shared" ca="1" si="13"/>
        <v>-1.037442473860941E-5</v>
      </c>
      <c r="S74" s="34">
        <f t="shared" ca="1" si="14"/>
        <v>0</v>
      </c>
      <c r="T74" s="93" t="str">
        <f t="shared" ref="T74:T80" ca="1" si="103">IF(CQ74=0,IF(N74&gt;$O$8,"SHALY",IF((O74&lt;$P$8)+(Q74&lt;$R$8),"TIGHT","  WET")),IF(S74&lt;1.2*$C$51/(1-N74+0.01),IF($I$51,"  GAS","  OIL"),"  H2O"))</f>
        <v>TIGHT</v>
      </c>
      <c r="U74" s="74">
        <f t="shared" ca="1" si="15"/>
        <v>133118.22244222675</v>
      </c>
      <c r="V74" s="74">
        <f t="shared" ca="1" si="16"/>
        <v>2912.9687499999995</v>
      </c>
      <c r="W74" s="34">
        <f t="shared" ca="1" si="17"/>
        <v>0</v>
      </c>
      <c r="X74" s="34">
        <f t="shared" si="18"/>
        <v>0.87187070570850311</v>
      </c>
      <c r="Y74" s="34">
        <f t="shared" ca="1" si="19"/>
        <v>0.12812929429149689</v>
      </c>
      <c r="Z74" s="74">
        <f t="shared" si="20"/>
        <v>465</v>
      </c>
      <c r="AA74" s="31">
        <f t="shared" si="21"/>
        <v>0.23462522851919559</v>
      </c>
      <c r="AB74" s="32">
        <f t="shared" ca="1" si="22"/>
        <v>0</v>
      </c>
      <c r="AC74" s="32">
        <f t="shared" ca="1" si="23"/>
        <v>0</v>
      </c>
      <c r="AD74" s="75">
        <f t="shared" si="24"/>
        <v>155.88235294117646</v>
      </c>
      <c r="AE74" s="75">
        <f t="shared" ca="1" si="25"/>
        <v>2494.1176470588234</v>
      </c>
      <c r="AF74" s="75">
        <f t="shared" ca="1" si="26"/>
        <v>2650</v>
      </c>
      <c r="AG74" s="32">
        <f t="shared" ca="1" si="27"/>
        <v>0</v>
      </c>
      <c r="AH74" s="32" t="str">
        <f t="shared" ca="1" si="28"/>
        <v xml:space="preserve">    NO</v>
      </c>
      <c r="AI74" s="32">
        <f t="shared" si="29"/>
        <v>24.083333333333336</v>
      </c>
      <c r="AJ74" s="32">
        <f t="shared" si="30"/>
        <v>5.8823529411764705E-2</v>
      </c>
      <c r="AK74" s="32">
        <f t="shared" si="31"/>
        <v>1</v>
      </c>
      <c r="AL74" s="32">
        <f t="shared" si="32"/>
        <v>0.06</v>
      </c>
      <c r="AM74" s="32">
        <f t="shared" si="33"/>
        <v>0.86842105263157776</v>
      </c>
      <c r="AN74" s="32">
        <f t="shared" si="34"/>
        <v>5.8823529411764705E-2</v>
      </c>
      <c r="AO74" s="32">
        <f t="shared" si="35"/>
        <v>2897.4999999999995</v>
      </c>
      <c r="AP74" s="32">
        <f t="shared" si="36"/>
        <v>-0.14999999999999972</v>
      </c>
      <c r="AQ74" s="32">
        <f t="shared" si="37"/>
        <v>4.8000000000000001E-2</v>
      </c>
      <c r="AR74" s="32">
        <f t="shared" si="38"/>
        <v>-3.6625971143174292E-2</v>
      </c>
      <c r="AS74" s="32">
        <f t="shared" si="39"/>
        <v>-0.14999999999999972</v>
      </c>
      <c r="AT74" s="32">
        <f t="shared" si="40"/>
        <v>3.4588235294117649E-2</v>
      </c>
      <c r="AU74" s="32">
        <f t="shared" si="41"/>
        <v>-0.14999999999999972</v>
      </c>
      <c r="AV74" s="32">
        <f t="shared" si="42"/>
        <v>0</v>
      </c>
      <c r="AW74" s="32">
        <f t="shared" si="43"/>
        <v>-6.7303809395611765E-3</v>
      </c>
      <c r="AX74" s="32">
        <f t="shared" si="44"/>
        <v>-0.12</v>
      </c>
      <c r="AY74" s="32">
        <f t="shared" si="45"/>
        <v>0</v>
      </c>
      <c r="AZ74" s="32">
        <f t="shared" si="46"/>
        <v>-1.28617596927223E-3</v>
      </c>
      <c r="BA74" s="32">
        <f t="shared" si="47"/>
        <v>2910.358127239293</v>
      </c>
      <c r="BB74" s="32">
        <f t="shared" si="48"/>
        <v>0</v>
      </c>
      <c r="BC74" s="32">
        <f t="shared" ca="1" si="49"/>
        <v>2837.7640592125745</v>
      </c>
      <c r="BD74" s="32">
        <f t="shared" ca="1" si="50"/>
        <v>-3.2504684422340974E-2</v>
      </c>
      <c r="BE74" s="32">
        <f t="shared" si="51"/>
        <v>0.32</v>
      </c>
      <c r="BF74" s="32">
        <f t="shared" ca="1" si="52"/>
        <v>0</v>
      </c>
      <c r="BG74" s="32">
        <f t="shared" ca="1" si="53"/>
        <v>562.69926298471364</v>
      </c>
      <c r="BH74" s="32">
        <f t="shared" ca="1" si="54"/>
        <v>54505139.987831958</v>
      </c>
      <c r="BI74" s="32">
        <f t="shared" ca="1" si="55"/>
        <v>160309.23525832928</v>
      </c>
      <c r="BJ74" s="32">
        <f t="shared" ca="1" si="56"/>
        <v>0.9294669610389974</v>
      </c>
      <c r="BK74" s="32">
        <f t="shared" si="57"/>
        <v>37.223666182717267</v>
      </c>
      <c r="BL74" s="32">
        <f t="shared" si="58"/>
        <v>2155686207.1586647</v>
      </c>
      <c r="BM74" s="32">
        <f t="shared" si="59"/>
        <v>1</v>
      </c>
      <c r="BN74" s="32">
        <f t="shared" ca="1" si="60"/>
        <v>1</v>
      </c>
      <c r="BO74" s="32">
        <f t="shared" ca="1" si="61"/>
        <v>1</v>
      </c>
      <c r="BP74" s="32">
        <f t="shared" ca="1" si="62"/>
        <v>1</v>
      </c>
      <c r="BQ74" s="32" t="e">
        <f>NA()</f>
        <v>#N/A</v>
      </c>
      <c r="BR74" s="32" t="e">
        <f>NA()</f>
        <v>#N/A</v>
      </c>
      <c r="BS74" s="32" t="e">
        <f>NA()</f>
        <v>#N/A</v>
      </c>
      <c r="BT74" s="32">
        <f t="shared" ca="1" si="63"/>
        <v>0</v>
      </c>
      <c r="BU74" s="32">
        <f t="shared" ca="1" si="64"/>
        <v>0</v>
      </c>
      <c r="BV74" s="32">
        <f t="shared" ca="1" si="65"/>
        <v>0</v>
      </c>
      <c r="BW74" s="32">
        <f t="shared" ca="1" si="66"/>
        <v>0.01</v>
      </c>
      <c r="BX74" s="32" t="e">
        <f>NA()</f>
        <v>#N/A</v>
      </c>
      <c r="BY74" s="32">
        <f t="shared" si="7"/>
        <v>74</v>
      </c>
      <c r="BZ74" s="32" t="e">
        <f>NA()</f>
        <v>#N/A</v>
      </c>
      <c r="CA74" s="32">
        <f t="shared" ca="1" si="67"/>
        <v>-0.19531249999999795</v>
      </c>
      <c r="CB74" s="32">
        <f t="shared" si="68"/>
        <v>-0.50561114020592968</v>
      </c>
      <c r="CC74" s="32">
        <f t="shared" si="69"/>
        <v>0.76155636037930574</v>
      </c>
      <c r="CD74" s="32">
        <f t="shared" si="70"/>
        <v>0.5221386800334169</v>
      </c>
      <c r="CE74" s="32">
        <f t="shared" si="71"/>
        <v>-0.28070997752046933</v>
      </c>
      <c r="CF74" s="32">
        <f t="shared" si="72"/>
        <v>-0.10937280480699976</v>
      </c>
      <c r="CG74" s="32">
        <f t="shared" si="73"/>
        <v>-0.16448610738587072</v>
      </c>
      <c r="CH74" s="32">
        <f t="shared" si="74"/>
        <v>1.1785260416987111</v>
      </c>
      <c r="CI74" s="32">
        <f t="shared" si="75"/>
        <v>0</v>
      </c>
      <c r="CJ74" s="32">
        <f t="shared" si="76"/>
        <v>1</v>
      </c>
      <c r="CK74" s="32">
        <f t="shared" si="77"/>
        <v>0.1672161303167691</v>
      </c>
      <c r="CL74" s="32">
        <f t="shared" si="78"/>
        <v>1.1378416337285777</v>
      </c>
      <c r="CM74" s="32">
        <f t="shared" si="79"/>
        <v>0</v>
      </c>
      <c r="CN74" s="32">
        <f t="shared" si="80"/>
        <v>0.87187070570850311</v>
      </c>
      <c r="CO74" s="94">
        <f t="shared" ref="CO74:CO80" ca="1" si="104">(N74&lt;=$O$6)*(O74&gt;=$P$6)*(P74&lt;=$Q$6)*(Q74&gt;=$R$6)*(A74&gt;=$O$9)*(B74&lt;=$Q$9)</f>
        <v>1</v>
      </c>
      <c r="CP74" s="94">
        <f t="shared" ref="CP74:CP80" ca="1" si="105">(N74&lt;=$O$7)*(O74&gt;=$P$7)*(P74&lt;=$Q$7)*(Q74&gt;=$R$7)*(A74&gt;=$O$9)*(B74&lt;=$Q$9)</f>
        <v>0</v>
      </c>
      <c r="CQ74" s="94">
        <f t="shared" ref="CQ74:CQ80" ca="1" si="106">(N74&lt;=$O$8)*(O74&gt;=$P$8)*(P74&lt;=$Q$8)*(Q74&gt;=$R$8)*(A74&gt;=$O$9)*(B74&lt;=$Q$9)</f>
        <v>0</v>
      </c>
      <c r="CR74" s="32">
        <f t="shared" ca="1" si="81"/>
        <v>0.29411764705882354</v>
      </c>
      <c r="CS74" s="32">
        <f t="shared" ca="1" si="82"/>
        <v>0</v>
      </c>
      <c r="CT74" s="32">
        <f t="shared" ca="1" si="83"/>
        <v>0</v>
      </c>
      <c r="CU74" s="32">
        <f t="shared" ca="1" si="84"/>
        <v>0.05</v>
      </c>
      <c r="CV74" s="32">
        <f t="shared" ca="1" si="85"/>
        <v>5</v>
      </c>
      <c r="CW74" s="32">
        <f t="shared" ca="1" si="86"/>
        <v>0</v>
      </c>
      <c r="CX74" s="32">
        <f t="shared" ca="1" si="87"/>
        <v>0</v>
      </c>
      <c r="CY74" s="32">
        <f t="shared" ca="1" si="88"/>
        <v>0</v>
      </c>
      <c r="CZ74" s="32">
        <f t="shared" ca="1" si="89"/>
        <v>0</v>
      </c>
      <c r="DA74" s="32">
        <f t="shared" ca="1" si="90"/>
        <v>0</v>
      </c>
      <c r="DB74" s="32">
        <f t="shared" ca="1" si="91"/>
        <v>0</v>
      </c>
      <c r="DC74" s="32">
        <f t="shared" ca="1" si="92"/>
        <v>0</v>
      </c>
      <c r="DD74" s="32">
        <f t="shared" ca="1" si="93"/>
        <v>0</v>
      </c>
      <c r="DE74" s="32">
        <f t="shared" ca="1" si="94"/>
        <v>0</v>
      </c>
      <c r="DF74" s="32">
        <f t="shared" ca="1" si="95"/>
        <v>0</v>
      </c>
      <c r="DG74" s="32" t="s">
        <v>335</v>
      </c>
      <c r="DH74" s="32">
        <v>169</v>
      </c>
      <c r="DI74" s="32">
        <v>2052.9</v>
      </c>
      <c r="DJ74" s="32">
        <f t="shared" ca="1" si="96"/>
        <v>0.9294669610389974</v>
      </c>
      <c r="DK74" s="32">
        <f t="shared" ca="1" si="97"/>
        <v>0</v>
      </c>
      <c r="DL74" s="32">
        <f t="shared" ca="1" si="98"/>
        <v>0.01</v>
      </c>
      <c r="DM74" s="32">
        <f t="shared" ca="1" si="99"/>
        <v>0</v>
      </c>
      <c r="DN74" s="32">
        <f t="shared" si="100"/>
        <v>0.02</v>
      </c>
      <c r="DO74" s="32">
        <f t="shared" si="100"/>
        <v>-0.15</v>
      </c>
      <c r="DP74" s="32">
        <f t="shared" si="101"/>
        <v>182.9</v>
      </c>
      <c r="DQ74" s="32">
        <f t="shared" ca="1" si="102"/>
        <v>0</v>
      </c>
      <c r="DR74" s="32">
        <f t="shared" ref="DR74:DR80" ca="1" si="107">IF($AH74=" TAR PAY",M74*AG74,0)</f>
        <v>0</v>
      </c>
      <c r="DS74" s="31">
        <f t="shared" ref="DS74:DS80" ca="1" si="108">IF($AH74=" TAR PAY",M74,0)</f>
        <v>0</v>
      </c>
      <c r="DT74" s="67"/>
    </row>
    <row r="75" spans="1:124">
      <c r="A75" s="131">
        <v>550</v>
      </c>
      <c r="B75" s="90">
        <v>555</v>
      </c>
      <c r="C75" s="90">
        <v>2</v>
      </c>
      <c r="D75" s="91">
        <v>0.33</v>
      </c>
      <c r="E75" s="91">
        <v>0.31</v>
      </c>
      <c r="F75" s="90">
        <f>51*$L$9</f>
        <v>167.3228346456691</v>
      </c>
      <c r="G75" s="90">
        <v>36.5</v>
      </c>
      <c r="H75" s="90">
        <v>-47</v>
      </c>
      <c r="I75" s="92">
        <v>2.1</v>
      </c>
      <c r="J75" s="90">
        <v>32</v>
      </c>
      <c r="K75" s="90">
        <v>100</v>
      </c>
      <c r="L75" s="90">
        <v>1010</v>
      </c>
      <c r="M75" s="33">
        <f t="shared" si="8"/>
        <v>5</v>
      </c>
      <c r="N75" s="34">
        <f t="shared" si="9"/>
        <v>0.06</v>
      </c>
      <c r="O75" s="73">
        <f t="shared" ca="1" si="10"/>
        <v>0.31256034877862215</v>
      </c>
      <c r="P75" s="34">
        <f t="shared" ca="1" si="11"/>
        <v>0.90668553114853034</v>
      </c>
      <c r="Q75" s="74">
        <f t="shared" ca="1" si="12"/>
        <v>8943.0212035116474</v>
      </c>
      <c r="R75" s="34">
        <f t="shared" ca="1" si="13"/>
        <v>0.28517657325201284</v>
      </c>
      <c r="S75" s="34">
        <f t="shared" ca="1" si="14"/>
        <v>0.2833939458483149</v>
      </c>
      <c r="T75" s="93" t="str">
        <f t="shared" ca="1" si="103"/>
        <v xml:space="preserve">  WET</v>
      </c>
      <c r="U75" s="74">
        <f t="shared" ca="1" si="15"/>
        <v>133118.22244222675</v>
      </c>
      <c r="V75" s="74">
        <f t="shared" ca="1" si="16"/>
        <v>2656.7330387496281</v>
      </c>
      <c r="W75" s="34">
        <f t="shared" ca="1" si="17"/>
        <v>0.88829009774203616</v>
      </c>
      <c r="X75" s="34">
        <f t="shared" si="18"/>
        <v>1.9027883843408737E-4</v>
      </c>
      <c r="Y75" s="34">
        <f t="shared" ca="1" si="19"/>
        <v>0.11151962341952976</v>
      </c>
      <c r="Z75" s="74">
        <f t="shared" si="20"/>
        <v>460</v>
      </c>
      <c r="AA75" s="31">
        <f t="shared" si="21"/>
        <v>0.23419708029197081</v>
      </c>
      <c r="AB75" s="32">
        <f t="shared" ca="1" si="22"/>
        <v>29.166402930307228</v>
      </c>
      <c r="AC75" s="32">
        <f t="shared" ca="1" si="23"/>
        <v>283.3939458483149</v>
      </c>
      <c r="AD75" s="75">
        <f t="shared" si="24"/>
        <v>159</v>
      </c>
      <c r="AE75" s="75">
        <f t="shared" ca="1" si="25"/>
        <v>1662.7150757366512</v>
      </c>
      <c r="AF75" s="75">
        <f t="shared" ca="1" si="26"/>
        <v>2134.2754245152732</v>
      </c>
      <c r="AG75" s="32">
        <f t="shared" ca="1" si="27"/>
        <v>1.3665716521536281E-2</v>
      </c>
      <c r="AH75" s="32" t="str">
        <f t="shared" ca="1" si="28"/>
        <v xml:space="preserve">    NO</v>
      </c>
      <c r="AI75" s="32">
        <f t="shared" si="29"/>
        <v>24.166666666666664</v>
      </c>
      <c r="AJ75" s="32">
        <f t="shared" si="30"/>
        <v>6.6176470588235295E-2</v>
      </c>
      <c r="AK75" s="32">
        <f t="shared" si="31"/>
        <v>1</v>
      </c>
      <c r="AL75" s="32">
        <f t="shared" si="32"/>
        <v>0.06</v>
      </c>
      <c r="AM75" s="32">
        <f t="shared" si="33"/>
        <v>0.21052631578947387</v>
      </c>
      <c r="AN75" s="32">
        <f t="shared" si="34"/>
        <v>0.06</v>
      </c>
      <c r="AO75" s="32">
        <f t="shared" si="35"/>
        <v>2138.5</v>
      </c>
      <c r="AP75" s="32">
        <f t="shared" si="36"/>
        <v>0.31</v>
      </c>
      <c r="AQ75" s="32">
        <f t="shared" si="37"/>
        <v>0.35800000000000004</v>
      </c>
      <c r="AR75" s="32">
        <f t="shared" si="38"/>
        <v>-4.0528301886792482E-2</v>
      </c>
      <c r="AS75" s="32">
        <f t="shared" si="39"/>
        <v>0.31</v>
      </c>
      <c r="AT75" s="32">
        <f t="shared" si="40"/>
        <v>0.34432000000000001</v>
      </c>
      <c r="AU75" s="32">
        <f t="shared" si="41"/>
        <v>0.31</v>
      </c>
      <c r="AV75" s="32">
        <f t="shared" si="42"/>
        <v>0.33745995423340963</v>
      </c>
      <c r="AW75" s="32">
        <f t="shared" si="43"/>
        <v>0.33059496567505725</v>
      </c>
      <c r="AX75" s="32">
        <f t="shared" si="44"/>
        <v>0.33999999999999997</v>
      </c>
      <c r="AY75" s="32">
        <f t="shared" si="45"/>
        <v>0.28800000000000003</v>
      </c>
      <c r="AZ75" s="32">
        <f t="shared" si="46"/>
        <v>0.31256034877862215</v>
      </c>
      <c r="BA75" s="32">
        <f t="shared" si="47"/>
        <v>2656.7330387496281</v>
      </c>
      <c r="BB75" s="32">
        <f t="shared" si="48"/>
        <v>0.31256034877862215</v>
      </c>
      <c r="BC75" s="32">
        <f t="shared" ca="1" si="49"/>
        <v>2656.3290564246495</v>
      </c>
      <c r="BD75" s="32">
        <f t="shared" ca="1" si="50"/>
        <v>0.31263658293988689</v>
      </c>
      <c r="BE75" s="32">
        <f t="shared" si="51"/>
        <v>0.3196</v>
      </c>
      <c r="BF75" s="32">
        <f t="shared" ca="1" si="52"/>
        <v>0.31256034877862215</v>
      </c>
      <c r="BG75" s="32">
        <f t="shared" ca="1" si="53"/>
        <v>0.94030407136341421</v>
      </c>
      <c r="BH75" s="32">
        <f t="shared" ca="1" si="54"/>
        <v>1.6622428836505116</v>
      </c>
      <c r="BI75" s="32">
        <f t="shared" ca="1" si="55"/>
        <v>4.986728650951535E-3</v>
      </c>
      <c r="BJ75" s="32">
        <f t="shared" ca="1" si="56"/>
        <v>0.90668553114853034</v>
      </c>
      <c r="BK75" s="32">
        <f t="shared" si="57"/>
        <v>1.0108885671772785</v>
      </c>
      <c r="BL75" s="32">
        <f t="shared" si="58"/>
        <v>1.5160794960659218</v>
      </c>
      <c r="BM75" s="32">
        <f t="shared" si="59"/>
        <v>0.87065478120375639</v>
      </c>
      <c r="BN75" s="32">
        <f t="shared" ca="1" si="60"/>
        <v>0.91775671325351704</v>
      </c>
      <c r="BO75" s="32">
        <f t="shared" ca="1" si="61"/>
        <v>0.1021079408880034</v>
      </c>
      <c r="BP75" s="32">
        <f t="shared" ca="1" si="62"/>
        <v>0.1021079408880034</v>
      </c>
      <c r="BQ75" s="32" t="e">
        <f>NA()</f>
        <v>#N/A</v>
      </c>
      <c r="BR75" s="32" t="e">
        <f>NA()</f>
        <v>#N/A</v>
      </c>
      <c r="BS75" s="32" t="e">
        <f>NA()</f>
        <v>#N/A</v>
      </c>
      <c r="BT75" s="32">
        <f t="shared" ca="1" si="63"/>
        <v>8943.0212035116474</v>
      </c>
      <c r="BU75" s="32">
        <f t="shared" ca="1" si="64"/>
        <v>3025.7737228619903</v>
      </c>
      <c r="BV75" s="32">
        <f t="shared" ca="1" si="65"/>
        <v>4373.9042161629714</v>
      </c>
      <c r="BW75" s="32">
        <f t="shared" ca="1" si="66"/>
        <v>75219.020392130609</v>
      </c>
      <c r="BX75" s="32" t="e">
        <f>NA()</f>
        <v>#N/A</v>
      </c>
      <c r="BY75" s="32">
        <f t="shared" si="7"/>
        <v>75</v>
      </c>
      <c r="BZ75" s="32" t="e">
        <f>NA()</f>
        <v>#N/A</v>
      </c>
      <c r="CA75" s="32">
        <f t="shared" ca="1" si="67"/>
        <v>0.96939527841078121</v>
      </c>
      <c r="CB75" s="32">
        <f t="shared" si="68"/>
        <v>0.92355353850405619</v>
      </c>
      <c r="CC75" s="32">
        <f t="shared" si="69"/>
        <v>1.2972030132506793</v>
      </c>
      <c r="CD75" s="32">
        <f t="shared" si="70"/>
        <v>0.63087010455431503</v>
      </c>
      <c r="CE75" s="32">
        <f t="shared" si="71"/>
        <v>16.25998928829468</v>
      </c>
      <c r="CF75" s="32">
        <f t="shared" si="72"/>
        <v>1.0862040112695164</v>
      </c>
      <c r="CG75" s="32">
        <f t="shared" si="73"/>
        <v>14.567048323487018</v>
      </c>
      <c r="CH75" s="32">
        <f t="shared" si="74"/>
        <v>-6.2104813714475657</v>
      </c>
      <c r="CI75" s="32">
        <f t="shared" si="75"/>
        <v>0</v>
      </c>
      <c r="CJ75" s="32">
        <f t="shared" si="76"/>
        <v>0</v>
      </c>
      <c r="CK75" s="32">
        <f t="shared" si="77"/>
        <v>0.11151962341952981</v>
      </c>
      <c r="CL75" s="32">
        <f t="shared" si="78"/>
        <v>1.9027883843408737E-4</v>
      </c>
      <c r="CM75" s="32">
        <f t="shared" si="79"/>
        <v>0.88829009774203616</v>
      </c>
      <c r="CN75" s="32">
        <f t="shared" si="80"/>
        <v>1.9027883843408737E-4</v>
      </c>
      <c r="CO75" s="94">
        <f t="shared" ca="1" si="104"/>
        <v>1</v>
      </c>
      <c r="CP75" s="94">
        <f t="shared" ca="1" si="105"/>
        <v>0</v>
      </c>
      <c r="CQ75" s="94">
        <f t="shared" ca="1" si="106"/>
        <v>0</v>
      </c>
      <c r="CR75" s="32">
        <f t="shared" ca="1" si="81"/>
        <v>0.3</v>
      </c>
      <c r="CS75" s="32">
        <f t="shared" ca="1" si="82"/>
        <v>1.5628017438931108</v>
      </c>
      <c r="CT75" s="32">
        <f t="shared" ca="1" si="83"/>
        <v>0.14583201465153614</v>
      </c>
      <c r="CU75" s="32">
        <f t="shared" ca="1" si="84"/>
        <v>44715.106017558239</v>
      </c>
      <c r="CV75" s="32">
        <f t="shared" ca="1" si="85"/>
        <v>5</v>
      </c>
      <c r="CW75" s="32">
        <f t="shared" ca="1" si="86"/>
        <v>0</v>
      </c>
      <c r="CX75" s="32">
        <f t="shared" ca="1" si="87"/>
        <v>0</v>
      </c>
      <c r="CY75" s="32">
        <f t="shared" ca="1" si="88"/>
        <v>0</v>
      </c>
      <c r="CZ75" s="32">
        <f t="shared" ca="1" si="89"/>
        <v>0</v>
      </c>
      <c r="DA75" s="32">
        <f t="shared" ca="1" si="90"/>
        <v>0</v>
      </c>
      <c r="DB75" s="32">
        <f t="shared" ca="1" si="91"/>
        <v>0</v>
      </c>
      <c r="DC75" s="32">
        <f t="shared" ca="1" si="92"/>
        <v>0</v>
      </c>
      <c r="DD75" s="32">
        <f t="shared" ca="1" si="93"/>
        <v>0</v>
      </c>
      <c r="DE75" s="32">
        <f t="shared" ca="1" si="94"/>
        <v>0</v>
      </c>
      <c r="DF75" s="32">
        <f t="shared" ca="1" si="95"/>
        <v>0</v>
      </c>
      <c r="DG75" s="32" t="s">
        <v>335</v>
      </c>
      <c r="DH75" s="32">
        <v>169</v>
      </c>
      <c r="DI75" s="32">
        <v>2052.9</v>
      </c>
      <c r="DJ75" s="32">
        <f t="shared" ca="1" si="96"/>
        <v>0.90668553114853034</v>
      </c>
      <c r="DK75" s="32">
        <f t="shared" ca="1" si="97"/>
        <v>0.31256034877862215</v>
      </c>
      <c r="DL75" s="32">
        <f t="shared" ca="1" si="98"/>
        <v>8943.0212035116474</v>
      </c>
      <c r="DM75" s="32">
        <f t="shared" ca="1" si="99"/>
        <v>0.31256034877862215</v>
      </c>
      <c r="DN75" s="32">
        <f t="shared" si="100"/>
        <v>0.33</v>
      </c>
      <c r="DO75" s="32">
        <f t="shared" si="100"/>
        <v>0.31</v>
      </c>
      <c r="DP75" s="32">
        <f t="shared" si="101"/>
        <v>2</v>
      </c>
      <c r="DQ75" s="32">
        <f t="shared" ca="1" si="102"/>
        <v>0.31256034877862215</v>
      </c>
      <c r="DR75" s="32">
        <f t="shared" ca="1" si="107"/>
        <v>0</v>
      </c>
      <c r="DS75" s="31">
        <f t="shared" ca="1" si="108"/>
        <v>0</v>
      </c>
      <c r="DT75" s="67"/>
    </row>
    <row r="76" spans="1:124">
      <c r="A76" s="131">
        <v>555</v>
      </c>
      <c r="B76" s="76">
        <v>560</v>
      </c>
      <c r="C76" s="76">
        <v>200</v>
      </c>
      <c r="D76" s="73">
        <v>0.3</v>
      </c>
      <c r="E76" s="73">
        <v>0.3</v>
      </c>
      <c r="F76" s="76">
        <f>62.8*$L$9</f>
        <v>206.03674540682391</v>
      </c>
      <c r="G76" s="76">
        <v>37.6</v>
      </c>
      <c r="H76" s="76">
        <v>-46.8</v>
      </c>
      <c r="I76" s="34">
        <v>2.1</v>
      </c>
      <c r="J76" s="76">
        <v>32</v>
      </c>
      <c r="K76" s="76">
        <v>100</v>
      </c>
      <c r="L76" s="76">
        <v>1010</v>
      </c>
      <c r="M76" s="33">
        <f t="shared" si="8"/>
        <v>5</v>
      </c>
      <c r="N76" s="34">
        <f t="shared" si="9"/>
        <v>6.4000000000000057E-2</v>
      </c>
      <c r="O76" s="73">
        <f t="shared" ca="1" si="10"/>
        <v>0.30143018172989028</v>
      </c>
      <c r="P76" s="34">
        <f t="shared" ca="1" si="11"/>
        <v>8.8957547489276131E-2</v>
      </c>
      <c r="Q76" s="74">
        <f t="shared" ca="1" si="12"/>
        <v>9478.8316499039265</v>
      </c>
      <c r="R76" s="34">
        <f t="shared" ca="1" si="13"/>
        <v>-93.480112613551327</v>
      </c>
      <c r="S76" s="34">
        <f t="shared" ca="1" si="14"/>
        <v>2.681448970593785E-2</v>
      </c>
      <c r="T76" s="93" t="str">
        <f t="shared" ca="1" si="103"/>
        <v xml:space="preserve">  OIL</v>
      </c>
      <c r="U76" s="74">
        <f t="shared" ca="1" si="15"/>
        <v>133118.22244222675</v>
      </c>
      <c r="V76" s="74">
        <f t="shared" ca="1" si="16"/>
        <v>2653.7187395088413</v>
      </c>
      <c r="W76" s="34">
        <f t="shared" ca="1" si="17"/>
        <v>0.85118991587452542</v>
      </c>
      <c r="X76" s="34">
        <f t="shared" si="18"/>
        <v>0</v>
      </c>
      <c r="Y76" s="34">
        <f t="shared" ca="1" si="19"/>
        <v>0.14881008412547458</v>
      </c>
      <c r="Z76" s="74">
        <f t="shared" si="20"/>
        <v>455</v>
      </c>
      <c r="AA76" s="31">
        <f t="shared" si="21"/>
        <v>0.23377049180327869</v>
      </c>
      <c r="AB76" s="32">
        <f t="shared" ca="1" si="22"/>
        <v>274.61569202395242</v>
      </c>
      <c r="AC76" s="32">
        <f t="shared" ca="1" si="23"/>
        <v>26.814489705937845</v>
      </c>
      <c r="AD76" s="75">
        <f t="shared" si="24"/>
        <v>169.60000000000014</v>
      </c>
      <c r="AE76" s="75">
        <f t="shared" ca="1" si="25"/>
        <v>1681.6100184157904</v>
      </c>
      <c r="AF76" s="75">
        <f t="shared" ca="1" si="26"/>
        <v>2152.6402001456809</v>
      </c>
      <c r="AG76" s="32">
        <f t="shared" ca="1" si="27"/>
        <v>0.12757157095057858</v>
      </c>
      <c r="AH76" s="32" t="str">
        <f t="shared" ca="1" si="28"/>
        <v xml:space="preserve"> TAR PAY</v>
      </c>
      <c r="AI76" s="32">
        <f t="shared" si="29"/>
        <v>24.25</v>
      </c>
      <c r="AJ76" s="32">
        <f t="shared" si="30"/>
        <v>8.2352941176470615E-2</v>
      </c>
      <c r="AK76" s="32">
        <f t="shared" si="31"/>
        <v>1</v>
      </c>
      <c r="AL76" s="32">
        <f t="shared" si="32"/>
        <v>6.4000000000000057E-2</v>
      </c>
      <c r="AM76" s="32">
        <f t="shared" si="33"/>
        <v>0.12280701754385975</v>
      </c>
      <c r="AN76" s="32">
        <f t="shared" si="34"/>
        <v>6.4000000000000057E-2</v>
      </c>
      <c r="AO76" s="32">
        <f t="shared" si="35"/>
        <v>2155</v>
      </c>
      <c r="AP76" s="32">
        <f t="shared" si="36"/>
        <v>0.3</v>
      </c>
      <c r="AQ76" s="32">
        <f t="shared" si="37"/>
        <v>0.32800000000000001</v>
      </c>
      <c r="AR76" s="32">
        <f t="shared" si="38"/>
        <v>4.8090566037735781E-2</v>
      </c>
      <c r="AS76" s="32">
        <f t="shared" si="39"/>
        <v>0.3</v>
      </c>
      <c r="AT76" s="32">
        <f t="shared" si="40"/>
        <v>0.31340800000000002</v>
      </c>
      <c r="AU76" s="32">
        <f t="shared" si="41"/>
        <v>0.3</v>
      </c>
      <c r="AV76" s="32">
        <f t="shared" si="42"/>
        <v>0.31601830663615554</v>
      </c>
      <c r="AW76" s="32">
        <f t="shared" si="43"/>
        <v>0.30869565217391298</v>
      </c>
      <c r="AX76" s="32">
        <f t="shared" si="44"/>
        <v>0.32999999999999996</v>
      </c>
      <c r="AY76" s="32">
        <f t="shared" si="45"/>
        <v>0.25719999999999998</v>
      </c>
      <c r="AZ76" s="32">
        <f t="shared" si="46"/>
        <v>0.29129489968920241</v>
      </c>
      <c r="BA76" s="32">
        <f t="shared" si="47"/>
        <v>2627.7209525628205</v>
      </c>
      <c r="BB76" s="32">
        <f t="shared" si="48"/>
        <v>0.30143018172989028</v>
      </c>
      <c r="BC76" s="32">
        <f t="shared" ca="1" si="49"/>
        <v>2658.3571743244866</v>
      </c>
      <c r="BD76" s="32">
        <f t="shared" ca="1" si="50"/>
        <v>0.30352760075918117</v>
      </c>
      <c r="BE76" s="32">
        <f t="shared" si="51"/>
        <v>0.31824000000000002</v>
      </c>
      <c r="BF76" s="32">
        <f t="shared" ca="1" si="52"/>
        <v>0.30143018172989028</v>
      </c>
      <c r="BG76" s="32">
        <f t="shared" ca="1" si="53"/>
        <v>9.7677625488569925E-2</v>
      </c>
      <c r="BH76" s="32">
        <f t="shared" ca="1" si="54"/>
        <v>1.786059947147173</v>
      </c>
      <c r="BI76" s="32">
        <f t="shared" ca="1" si="55"/>
        <v>5.7153918308709582E-3</v>
      </c>
      <c r="BJ76" s="32">
        <f t="shared" ca="1" si="56"/>
        <v>8.8957547489276131E-2</v>
      </c>
      <c r="BK76" s="32">
        <f t="shared" si="57"/>
        <v>1.0123374728949524</v>
      </c>
      <c r="BL76" s="32">
        <f t="shared" si="58"/>
        <v>1.7451387113418839</v>
      </c>
      <c r="BM76" s="32">
        <f t="shared" si="59"/>
        <v>9.3411420911521409E-2</v>
      </c>
      <c r="BN76" s="32">
        <f t="shared" ca="1" si="60"/>
        <v>7.3614735570907641E-2</v>
      </c>
      <c r="BO76" s="32">
        <f t="shared" ca="1" si="61"/>
        <v>0.1063306994254577</v>
      </c>
      <c r="BP76" s="32">
        <f t="shared" ca="1" si="62"/>
        <v>8.8957547489276131E-2</v>
      </c>
      <c r="BQ76" s="32" t="e">
        <f>NA()</f>
        <v>#N/A</v>
      </c>
      <c r="BR76" s="32" t="e">
        <f>NA()</f>
        <v>#N/A</v>
      </c>
      <c r="BS76" s="32" t="e">
        <f>NA()</f>
        <v>#N/A</v>
      </c>
      <c r="BT76" s="32">
        <f t="shared" ca="1" si="63"/>
        <v>9478.8316499039265</v>
      </c>
      <c r="BU76" s="32">
        <f t="shared" ca="1" si="64"/>
        <v>3398.6186198454966</v>
      </c>
      <c r="BV76" s="32">
        <f t="shared" ca="1" si="65"/>
        <v>4801.5992895413538</v>
      </c>
      <c r="BW76" s="32">
        <f t="shared" ca="1" si="66"/>
        <v>42801.993631744088</v>
      </c>
      <c r="BX76" s="32" t="e">
        <f>NA()</f>
        <v>#N/A</v>
      </c>
      <c r="BY76" s="32">
        <f t="shared" si="7"/>
        <v>76</v>
      </c>
      <c r="BZ76" s="32" t="e">
        <f>NA()</f>
        <v>#N/A</v>
      </c>
      <c r="CA76" s="32">
        <f t="shared" ca="1" si="67"/>
        <v>0.98309663859617602</v>
      </c>
      <c r="CB76" s="32">
        <f t="shared" si="68"/>
        <v>0.93328197564008897</v>
      </c>
      <c r="CC76" s="32">
        <f t="shared" si="69"/>
        <v>1.1690115855676926</v>
      </c>
      <c r="CD76" s="32">
        <f t="shared" si="70"/>
        <v>0.64833726106310541</v>
      </c>
      <c r="CE76" s="32">
        <f t="shared" si="71"/>
        <v>12.301454604294802</v>
      </c>
      <c r="CF76" s="32">
        <f t="shared" si="72"/>
        <v>1.2782674138847927</v>
      </c>
      <c r="CG76" s="32">
        <f t="shared" si="73"/>
        <v>10.582415498173349</v>
      </c>
      <c r="CH76" s="32">
        <f t="shared" si="74"/>
        <v>-4.7273257414366565</v>
      </c>
      <c r="CI76" s="32">
        <f t="shared" si="75"/>
        <v>0</v>
      </c>
      <c r="CJ76" s="32">
        <f t="shared" si="76"/>
        <v>0</v>
      </c>
      <c r="CK76" s="32">
        <f t="shared" si="77"/>
        <v>0.17081218153262759</v>
      </c>
      <c r="CL76" s="32">
        <f t="shared" si="78"/>
        <v>-0.14785353785971353</v>
      </c>
      <c r="CM76" s="32">
        <f t="shared" si="79"/>
        <v>0.85118991587452542</v>
      </c>
      <c r="CN76" s="32">
        <f t="shared" si="80"/>
        <v>0</v>
      </c>
      <c r="CO76" s="94">
        <f t="shared" ca="1" si="104"/>
        <v>1</v>
      </c>
      <c r="CP76" s="94">
        <f t="shared" ca="1" si="105"/>
        <v>1</v>
      </c>
      <c r="CQ76" s="94">
        <f t="shared" ca="1" si="106"/>
        <v>1</v>
      </c>
      <c r="CR76" s="32">
        <f t="shared" ca="1" si="81"/>
        <v>0.32000000000000028</v>
      </c>
      <c r="CS76" s="32">
        <f t="shared" ca="1" si="82"/>
        <v>1.5071509086494514</v>
      </c>
      <c r="CT76" s="32">
        <f t="shared" ca="1" si="83"/>
        <v>1.3730784601197623</v>
      </c>
      <c r="CU76" s="32">
        <f t="shared" ca="1" si="84"/>
        <v>47394.158249519634</v>
      </c>
      <c r="CV76" s="32">
        <f t="shared" ca="1" si="85"/>
        <v>5</v>
      </c>
      <c r="CW76" s="32">
        <f t="shared" ca="1" si="86"/>
        <v>0.32000000000000028</v>
      </c>
      <c r="CX76" s="32">
        <f t="shared" ca="1" si="87"/>
        <v>1.5071509086494514</v>
      </c>
      <c r="CY76" s="32">
        <f t="shared" ca="1" si="88"/>
        <v>1.3730784601197623</v>
      </c>
      <c r="CZ76" s="32">
        <f t="shared" ca="1" si="89"/>
        <v>47394.158249519634</v>
      </c>
      <c r="DA76" s="32">
        <f t="shared" ca="1" si="90"/>
        <v>5</v>
      </c>
      <c r="DB76" s="32">
        <f t="shared" ca="1" si="91"/>
        <v>0.32000000000000028</v>
      </c>
      <c r="DC76" s="32">
        <f t="shared" ca="1" si="92"/>
        <v>1.5071509086494514</v>
      </c>
      <c r="DD76" s="32">
        <f t="shared" ca="1" si="93"/>
        <v>1.3730784601197623</v>
      </c>
      <c r="DE76" s="32">
        <f t="shared" ca="1" si="94"/>
        <v>47394.158249519634</v>
      </c>
      <c r="DF76" s="32">
        <f t="shared" ca="1" si="95"/>
        <v>5</v>
      </c>
      <c r="DG76" s="32" t="s">
        <v>335</v>
      </c>
      <c r="DH76" s="32">
        <v>169</v>
      </c>
      <c r="DI76" s="32">
        <v>2052.9</v>
      </c>
      <c r="DJ76" s="32">
        <f t="shared" ca="1" si="96"/>
        <v>8.8957547489276131E-2</v>
      </c>
      <c r="DK76" s="32">
        <f t="shared" ca="1" si="97"/>
        <v>0.30143018172989028</v>
      </c>
      <c r="DL76" s="32">
        <f t="shared" ca="1" si="98"/>
        <v>9478.8316499039265</v>
      </c>
      <c r="DM76" s="32">
        <f t="shared" ca="1" si="99"/>
        <v>0.30143018172989028</v>
      </c>
      <c r="DN76" s="32">
        <f t="shared" si="100"/>
        <v>0.3</v>
      </c>
      <c r="DO76" s="32">
        <f t="shared" si="100"/>
        <v>0.3</v>
      </c>
      <c r="DP76" s="32">
        <f t="shared" si="101"/>
        <v>200</v>
      </c>
      <c r="DQ76" s="32">
        <f t="shared" ca="1" si="102"/>
        <v>0.30143018172989028</v>
      </c>
      <c r="DR76" s="32">
        <f t="shared" ca="1" si="107"/>
        <v>0.63785785475289292</v>
      </c>
      <c r="DS76" s="31">
        <f t="shared" ca="1" si="108"/>
        <v>5</v>
      </c>
      <c r="DT76" s="67"/>
    </row>
    <row r="77" spans="1:124">
      <c r="A77" s="131">
        <v>560</v>
      </c>
      <c r="B77" s="76">
        <v>565</v>
      </c>
      <c r="C77" s="76">
        <v>250</v>
      </c>
      <c r="D77" s="73">
        <v>0.32</v>
      </c>
      <c r="E77" s="73">
        <v>0.3</v>
      </c>
      <c r="F77" s="76">
        <f>66.3*$L$9</f>
        <v>217.51968503936985</v>
      </c>
      <c r="G77" s="76">
        <v>34.3333333333333</v>
      </c>
      <c r="H77" s="76">
        <v>-45</v>
      </c>
      <c r="I77" s="34">
        <v>2.1</v>
      </c>
      <c r="J77" s="76">
        <v>32</v>
      </c>
      <c r="K77" s="76">
        <v>100</v>
      </c>
      <c r="L77" s="76">
        <v>1010</v>
      </c>
      <c r="M77" s="33">
        <f t="shared" si="8"/>
        <v>5</v>
      </c>
      <c r="N77" s="34">
        <f t="shared" si="9"/>
        <v>3.4313725490195589E-2</v>
      </c>
      <c r="O77" s="73">
        <f t="shared" ca="1" si="10"/>
        <v>0.30524614730823751</v>
      </c>
      <c r="P77" s="34">
        <f t="shared" ca="1" si="11"/>
        <v>8.1607783015408594E-2</v>
      </c>
      <c r="Q77" s="74">
        <f t="shared" ca="1" si="12"/>
        <v>12146.131741589321</v>
      </c>
      <c r="R77" s="34">
        <f t="shared" ca="1" si="13"/>
        <v>229.19398497861519</v>
      </c>
      <c r="S77" s="34">
        <f t="shared" ca="1" si="14"/>
        <v>2.4910461355820094E-2</v>
      </c>
      <c r="T77" s="93" t="str">
        <f t="shared" ca="1" si="103"/>
        <v xml:space="preserve">  OIL</v>
      </c>
      <c r="U77" s="74">
        <f t="shared" ca="1" si="15"/>
        <v>85724.064192707112</v>
      </c>
      <c r="V77" s="74">
        <f t="shared" ca="1" si="16"/>
        <v>2663.1066279925631</v>
      </c>
      <c r="W77" s="34">
        <f t="shared" ca="1" si="17"/>
        <v>0.84223417254025779</v>
      </c>
      <c r="X77" s="34">
        <f t="shared" si="18"/>
        <v>2.2754239656116837E-2</v>
      </c>
      <c r="Y77" s="34">
        <f t="shared" ca="1" si="19"/>
        <v>0.13501158780362538</v>
      </c>
      <c r="Z77" s="74">
        <f t="shared" si="20"/>
        <v>450</v>
      </c>
      <c r="AA77" s="31">
        <f t="shared" si="21"/>
        <v>0.23334545454545455</v>
      </c>
      <c r="AB77" s="32">
        <f t="shared" ca="1" si="22"/>
        <v>280.33568595241746</v>
      </c>
      <c r="AC77" s="32">
        <f t="shared" ca="1" si="23"/>
        <v>24.910461355820097</v>
      </c>
      <c r="AD77" s="75">
        <f t="shared" si="24"/>
        <v>90.931372549018306</v>
      </c>
      <c r="AE77" s="75">
        <f t="shared" ca="1" si="25"/>
        <v>1750.1663370841522</v>
      </c>
      <c r="AF77" s="75">
        <f t="shared" ca="1" si="26"/>
        <v>2146.3438569414079</v>
      </c>
      <c r="AG77" s="32">
        <f t="shared" ca="1" si="27"/>
        <v>0.13061079893876026</v>
      </c>
      <c r="AH77" s="32" t="str">
        <f t="shared" ca="1" si="28"/>
        <v xml:space="preserve"> TAR PAY</v>
      </c>
      <c r="AI77" s="32">
        <f t="shared" si="29"/>
        <v>24.333333333333336</v>
      </c>
      <c r="AJ77" s="32">
        <f t="shared" si="30"/>
        <v>3.4313725490195589E-2</v>
      </c>
      <c r="AK77" s="32">
        <f t="shared" si="31"/>
        <v>1</v>
      </c>
      <c r="AL77" s="32">
        <f t="shared" si="32"/>
        <v>0.1</v>
      </c>
      <c r="AM77" s="32">
        <f t="shared" si="33"/>
        <v>0.21052631578947387</v>
      </c>
      <c r="AN77" s="32">
        <f t="shared" si="34"/>
        <v>3.4313725490195589E-2</v>
      </c>
      <c r="AO77" s="32">
        <f t="shared" si="35"/>
        <v>2155</v>
      </c>
      <c r="AP77" s="32">
        <f t="shared" si="36"/>
        <v>0.3</v>
      </c>
      <c r="AQ77" s="32">
        <f t="shared" si="37"/>
        <v>0.34800000000000003</v>
      </c>
      <c r="AR77" s="32">
        <f t="shared" si="38"/>
        <v>7.775434702182768E-2</v>
      </c>
      <c r="AS77" s="32">
        <f t="shared" si="39"/>
        <v>0.3</v>
      </c>
      <c r="AT77" s="32">
        <f t="shared" si="40"/>
        <v>0.34017647058823541</v>
      </c>
      <c r="AU77" s="32">
        <f t="shared" si="41"/>
        <v>0.3</v>
      </c>
      <c r="AV77" s="32">
        <f t="shared" si="42"/>
        <v>0.32745995423340957</v>
      </c>
      <c r="AW77" s="32">
        <f t="shared" si="43"/>
        <v>0.32353389868533228</v>
      </c>
      <c r="AX77" s="32">
        <f t="shared" si="44"/>
        <v>0.32999999999999996</v>
      </c>
      <c r="AY77" s="32">
        <f t="shared" si="45"/>
        <v>0.28313725490196084</v>
      </c>
      <c r="AZ77" s="32">
        <f t="shared" si="46"/>
        <v>0.30524614730823751</v>
      </c>
      <c r="BA77" s="32">
        <f t="shared" si="47"/>
        <v>2663.1066279925631</v>
      </c>
      <c r="BB77" s="32">
        <f t="shared" si="48"/>
        <v>0.30524614730823751</v>
      </c>
      <c r="BC77" s="32">
        <f t="shared" ca="1" si="49"/>
        <v>2662.6568907575247</v>
      </c>
      <c r="BD77" s="32">
        <f t="shared" ca="1" si="50"/>
        <v>0.30532871428826824</v>
      </c>
      <c r="BE77" s="32">
        <f t="shared" si="51"/>
        <v>0.32833333333333353</v>
      </c>
      <c r="BF77" s="32">
        <f t="shared" ca="1" si="52"/>
        <v>0.30524614730823751</v>
      </c>
      <c r="BG77" s="32">
        <f t="shared" ca="1" si="53"/>
        <v>8.61139747020956E-2</v>
      </c>
      <c r="BH77" s="32">
        <f t="shared" ca="1" si="54"/>
        <v>1.7902898013255553</v>
      </c>
      <c r="BI77" s="32">
        <f t="shared" ca="1" si="55"/>
        <v>3.071575639529095E-3</v>
      </c>
      <c r="BJ77" s="32">
        <f t="shared" ca="1" si="56"/>
        <v>8.1607783015408594E-2</v>
      </c>
      <c r="BK77" s="32">
        <f t="shared" si="57"/>
        <v>1.0063503081090868</v>
      </c>
      <c r="BL77" s="32">
        <f t="shared" si="58"/>
        <v>1.6042239473661868</v>
      </c>
      <c r="BM77" s="32">
        <f t="shared" si="59"/>
        <v>8.0105529081735349E-2</v>
      </c>
      <c r="BN77" s="32">
        <f t="shared" ca="1" si="60"/>
        <v>7.3049218192212231E-2</v>
      </c>
      <c r="BO77" s="32">
        <f t="shared" ca="1" si="61"/>
        <v>0.10177356904146373</v>
      </c>
      <c r="BP77" s="32">
        <f t="shared" ca="1" si="62"/>
        <v>8.1607783015408594E-2</v>
      </c>
      <c r="BQ77" s="32" t="e">
        <f>NA()</f>
        <v>#N/A</v>
      </c>
      <c r="BR77" s="32" t="e">
        <f>NA()</f>
        <v>#N/A</v>
      </c>
      <c r="BS77" s="32" t="e">
        <f>NA()</f>
        <v>#N/A</v>
      </c>
      <c r="BT77" s="32">
        <f t="shared" ca="1" si="63"/>
        <v>12146.131741589321</v>
      </c>
      <c r="BU77" s="32">
        <f t="shared" ca="1" si="64"/>
        <v>4268.1933077037083</v>
      </c>
      <c r="BV77" s="32">
        <f t="shared" ca="1" si="65"/>
        <v>6403.2445075863598</v>
      </c>
      <c r="BW77" s="32">
        <f t="shared" ca="1" si="66"/>
        <v>51929.631498830706</v>
      </c>
      <c r="BX77" s="32" t="e">
        <f>NA()</f>
        <v>#N/A</v>
      </c>
      <c r="BY77" s="32">
        <f t="shared" si="7"/>
        <v>77</v>
      </c>
      <c r="BZ77" s="32" t="e">
        <f>NA()</f>
        <v>#N/A</v>
      </c>
      <c r="CA77" s="32">
        <f t="shared" ca="1" si="67"/>
        <v>0.94042441821562239</v>
      </c>
      <c r="CB77" s="32">
        <f t="shared" si="68"/>
        <v>0.86108171179717952</v>
      </c>
      <c r="CC77" s="32">
        <f t="shared" si="69"/>
        <v>1.1325823808503868</v>
      </c>
      <c r="CD77" s="32">
        <f t="shared" si="70"/>
        <v>0.62569847699924852</v>
      </c>
      <c r="CE77" s="32">
        <f t="shared" si="71"/>
        <v>11.176525480792064</v>
      </c>
      <c r="CF77" s="32">
        <f t="shared" si="72"/>
        <v>1.029338408400204</v>
      </c>
      <c r="CG77" s="32">
        <f t="shared" si="73"/>
        <v>9.7414430039947142</v>
      </c>
      <c r="CH77" s="32">
        <f t="shared" si="74"/>
        <v>-4.1248351432218131</v>
      </c>
      <c r="CI77" s="32">
        <f t="shared" si="75"/>
        <v>0</v>
      </c>
      <c r="CJ77" s="32">
        <f t="shared" si="76"/>
        <v>0</v>
      </c>
      <c r="CK77" s="32">
        <f t="shared" si="77"/>
        <v>0.13501158780362529</v>
      </c>
      <c r="CL77" s="32">
        <f t="shared" si="78"/>
        <v>2.2754239656116837E-2</v>
      </c>
      <c r="CM77" s="32">
        <f t="shared" si="79"/>
        <v>0.84223417254025779</v>
      </c>
      <c r="CN77" s="32">
        <f t="shared" si="80"/>
        <v>2.2754239656116837E-2</v>
      </c>
      <c r="CO77" s="94">
        <f t="shared" ca="1" si="104"/>
        <v>1</v>
      </c>
      <c r="CP77" s="94">
        <f t="shared" ca="1" si="105"/>
        <v>1</v>
      </c>
      <c r="CQ77" s="94">
        <f t="shared" ca="1" si="106"/>
        <v>1</v>
      </c>
      <c r="CR77" s="32">
        <f t="shared" ca="1" si="81"/>
        <v>0.17156862745097795</v>
      </c>
      <c r="CS77" s="32">
        <f t="shared" ca="1" si="82"/>
        <v>1.5262307365411876</v>
      </c>
      <c r="CT77" s="32">
        <f t="shared" ca="1" si="83"/>
        <v>1.401678429762087</v>
      </c>
      <c r="CU77" s="32">
        <f t="shared" ca="1" si="84"/>
        <v>60730.658707946604</v>
      </c>
      <c r="CV77" s="32">
        <f t="shared" ca="1" si="85"/>
        <v>5</v>
      </c>
      <c r="CW77" s="32">
        <f t="shared" ca="1" si="86"/>
        <v>0.17156862745097795</v>
      </c>
      <c r="CX77" s="32">
        <f t="shared" ca="1" si="87"/>
        <v>1.5262307365411876</v>
      </c>
      <c r="CY77" s="32">
        <f t="shared" ca="1" si="88"/>
        <v>1.401678429762087</v>
      </c>
      <c r="CZ77" s="32">
        <f t="shared" ca="1" si="89"/>
        <v>60730.658707946604</v>
      </c>
      <c r="DA77" s="32">
        <f t="shared" ca="1" si="90"/>
        <v>5</v>
      </c>
      <c r="DB77" s="32">
        <f t="shared" ca="1" si="91"/>
        <v>0.17156862745097795</v>
      </c>
      <c r="DC77" s="32">
        <f t="shared" ca="1" si="92"/>
        <v>1.5262307365411876</v>
      </c>
      <c r="DD77" s="32">
        <f t="shared" ca="1" si="93"/>
        <v>1.401678429762087</v>
      </c>
      <c r="DE77" s="32">
        <f t="shared" ca="1" si="94"/>
        <v>60730.658707946604</v>
      </c>
      <c r="DF77" s="32">
        <f t="shared" ca="1" si="95"/>
        <v>5</v>
      </c>
      <c r="DG77" s="32" t="s">
        <v>335</v>
      </c>
      <c r="DH77" s="32">
        <v>169</v>
      </c>
      <c r="DI77" s="32">
        <v>2052.9</v>
      </c>
      <c r="DJ77" s="32">
        <f t="shared" ca="1" si="96"/>
        <v>8.1607783015408594E-2</v>
      </c>
      <c r="DK77" s="32">
        <f t="shared" ca="1" si="97"/>
        <v>0.30524614730823751</v>
      </c>
      <c r="DL77" s="32">
        <f t="shared" ca="1" si="98"/>
        <v>12146.131741589321</v>
      </c>
      <c r="DM77" s="32">
        <f t="shared" ca="1" si="99"/>
        <v>0.30524614730823751</v>
      </c>
      <c r="DN77" s="32">
        <f t="shared" si="100"/>
        <v>0.32</v>
      </c>
      <c r="DO77" s="32">
        <f t="shared" si="100"/>
        <v>0.3</v>
      </c>
      <c r="DP77" s="32">
        <f t="shared" si="101"/>
        <v>250</v>
      </c>
      <c r="DQ77" s="32">
        <f t="shared" ca="1" si="102"/>
        <v>0.30524614730823751</v>
      </c>
      <c r="DR77" s="32">
        <f t="shared" ca="1" si="107"/>
        <v>0.65305399469380132</v>
      </c>
      <c r="DS77" s="31">
        <f t="shared" ca="1" si="108"/>
        <v>5</v>
      </c>
      <c r="DT77" s="67"/>
    </row>
    <row r="78" spans="1:124">
      <c r="A78" s="131">
        <v>565</v>
      </c>
      <c r="B78" s="76">
        <v>570</v>
      </c>
      <c r="C78" s="76">
        <v>220</v>
      </c>
      <c r="D78" s="73">
        <v>0.28000000000000003</v>
      </c>
      <c r="E78" s="73">
        <v>0.27</v>
      </c>
      <c r="F78" s="76">
        <f>74.8*$L$9</f>
        <v>245.40682414698136</v>
      </c>
      <c r="G78" s="76">
        <v>32</v>
      </c>
      <c r="H78" s="76">
        <v>-45</v>
      </c>
      <c r="I78" s="34">
        <v>2.1</v>
      </c>
      <c r="J78" s="76">
        <v>32</v>
      </c>
      <c r="K78" s="76">
        <v>100</v>
      </c>
      <c r="L78" s="76">
        <v>1010</v>
      </c>
      <c r="M78" s="33">
        <f t="shared" si="8"/>
        <v>5</v>
      </c>
      <c r="N78" s="34">
        <f t="shared" si="9"/>
        <v>0</v>
      </c>
      <c r="O78" s="73">
        <f t="shared" ca="1" si="10"/>
        <v>0.27335868823956849</v>
      </c>
      <c r="P78" s="34">
        <f t="shared" ca="1" si="11"/>
        <v>0.10325976128968954</v>
      </c>
      <c r="Q78" s="74">
        <f t="shared" ca="1" si="12"/>
        <v>3913.2271415891655</v>
      </c>
      <c r="R78" s="34">
        <f t="shared" ca="1" si="13"/>
        <v>21.842622264311665</v>
      </c>
      <c r="S78" s="34">
        <f t="shared" ca="1" si="14"/>
        <v>2.8226952894080507E-2</v>
      </c>
      <c r="T78" s="93" t="str">
        <f t="shared" ca="1" si="103"/>
        <v xml:space="preserve">  OIL</v>
      </c>
      <c r="U78" s="74">
        <f t="shared" ca="1" si="15"/>
        <v>24993.405484760508</v>
      </c>
      <c r="V78" s="74">
        <f t="shared" ca="1" si="16"/>
        <v>2657.6266453690359</v>
      </c>
      <c r="W78" s="34">
        <f t="shared" ca="1" si="17"/>
        <v>0.81853186545817924</v>
      </c>
      <c r="X78" s="34">
        <f t="shared" si="18"/>
        <v>0</v>
      </c>
      <c r="Y78" s="34">
        <f t="shared" ca="1" si="19"/>
        <v>0.18146813454182076</v>
      </c>
      <c r="Z78" s="74">
        <f t="shared" si="20"/>
        <v>445</v>
      </c>
      <c r="AA78" s="31">
        <f t="shared" si="21"/>
        <v>0.2329219600725953</v>
      </c>
      <c r="AB78" s="32">
        <f t="shared" ca="1" si="22"/>
        <v>245.13173534548801</v>
      </c>
      <c r="AC78" s="32">
        <f t="shared" ca="1" si="23"/>
        <v>28.226952894080508</v>
      </c>
      <c r="AD78" s="75">
        <f t="shared" si="24"/>
        <v>0</v>
      </c>
      <c r="AE78" s="75">
        <f t="shared" ca="1" si="25"/>
        <v>1925.5994761651436</v>
      </c>
      <c r="AF78" s="75">
        <f t="shared" ca="1" si="26"/>
        <v>2198.9581644047121</v>
      </c>
      <c r="AG78" s="32">
        <f t="shared" ca="1" si="27"/>
        <v>0.11147630696823579</v>
      </c>
      <c r="AH78" s="32" t="str">
        <f t="shared" ca="1" si="28"/>
        <v xml:space="preserve"> TAR PAY</v>
      </c>
      <c r="AI78" s="32">
        <f t="shared" si="29"/>
        <v>24.416666666666664</v>
      </c>
      <c r="AJ78" s="32">
        <f t="shared" si="30"/>
        <v>0</v>
      </c>
      <c r="AK78" s="32">
        <f t="shared" si="31"/>
        <v>1</v>
      </c>
      <c r="AL78" s="32">
        <f t="shared" si="32"/>
        <v>0.1</v>
      </c>
      <c r="AM78" s="32">
        <f t="shared" si="33"/>
        <v>0.1666666666666668</v>
      </c>
      <c r="AN78" s="32">
        <f t="shared" si="34"/>
        <v>0</v>
      </c>
      <c r="AO78" s="32">
        <f t="shared" si="35"/>
        <v>2204.5</v>
      </c>
      <c r="AP78" s="32">
        <f t="shared" si="36"/>
        <v>0.27</v>
      </c>
      <c r="AQ78" s="32">
        <f t="shared" si="37"/>
        <v>0.30800000000000005</v>
      </c>
      <c r="AR78" s="32">
        <f t="shared" si="38"/>
        <v>0.14566037735849055</v>
      </c>
      <c r="AS78" s="32">
        <f t="shared" si="39"/>
        <v>0.27</v>
      </c>
      <c r="AT78" s="32">
        <f t="shared" si="40"/>
        <v>0.30800000000000005</v>
      </c>
      <c r="AU78" s="32">
        <f t="shared" si="41"/>
        <v>0.27</v>
      </c>
      <c r="AV78" s="32">
        <f t="shared" si="42"/>
        <v>0.29173913043478261</v>
      </c>
      <c r="AW78" s="32">
        <f t="shared" si="43"/>
        <v>0.29173913043478261</v>
      </c>
      <c r="AX78" s="32">
        <f t="shared" si="44"/>
        <v>0.30000000000000004</v>
      </c>
      <c r="AY78" s="32">
        <f t="shared" si="45"/>
        <v>0.25</v>
      </c>
      <c r="AZ78" s="32">
        <f t="shared" si="46"/>
        <v>0.27335868823956849</v>
      </c>
      <c r="BA78" s="32">
        <f t="shared" si="47"/>
        <v>2657.6266453690359</v>
      </c>
      <c r="BB78" s="32">
        <f t="shared" si="48"/>
        <v>0.27335868823956849</v>
      </c>
      <c r="BC78" s="32">
        <f t="shared" ca="1" si="49"/>
        <v>2660.8880880725092</v>
      </c>
      <c r="BD78" s="32">
        <f t="shared" ca="1" si="50"/>
        <v>0.27478557486805499</v>
      </c>
      <c r="BE78" s="32">
        <f t="shared" si="51"/>
        <v>0.34</v>
      </c>
      <c r="BF78" s="32">
        <f t="shared" ca="1" si="52"/>
        <v>0.27335868823956849</v>
      </c>
      <c r="BG78" s="32">
        <f t="shared" ca="1" si="53"/>
        <v>0.10325976128968954</v>
      </c>
      <c r="BH78" s="32">
        <f t="shared" ca="1" si="54"/>
        <v>2.3457672263528071</v>
      </c>
      <c r="BI78" s="32">
        <f t="shared" ca="1" si="55"/>
        <v>0</v>
      </c>
      <c r="BJ78" s="32">
        <f t="shared" ca="1" si="56"/>
        <v>0.10325976128968954</v>
      </c>
      <c r="BK78" s="32">
        <f t="shared" si="57"/>
        <v>1</v>
      </c>
      <c r="BL78" s="32">
        <f t="shared" si="58"/>
        <v>2.0395931840245436</v>
      </c>
      <c r="BM78" s="32">
        <f t="shared" si="59"/>
        <v>9.6285399252443629E-2</v>
      </c>
      <c r="BN78" s="32">
        <f t="shared" ca="1" si="60"/>
        <v>0.10272198273278055</v>
      </c>
      <c r="BO78" s="32">
        <f t="shared" ca="1" si="61"/>
        <v>0.1097459173264262</v>
      </c>
      <c r="BP78" s="32">
        <f t="shared" ca="1" si="62"/>
        <v>0.10325976128968954</v>
      </c>
      <c r="BQ78" s="32" t="e">
        <f>NA()</f>
        <v>#N/A</v>
      </c>
      <c r="BR78" s="32" t="e">
        <f>NA()</f>
        <v>#N/A</v>
      </c>
      <c r="BS78" s="32" t="e">
        <f>NA()</f>
        <v>#N/A</v>
      </c>
      <c r="BT78" s="32">
        <f t="shared" ca="1" si="63"/>
        <v>3913.2271415891655</v>
      </c>
      <c r="BU78" s="32">
        <f t="shared" ca="1" si="64"/>
        <v>1640.6231875474789</v>
      </c>
      <c r="BV78" s="32">
        <f t="shared" ca="1" si="65"/>
        <v>2433.1837872709839</v>
      </c>
      <c r="BW78" s="32">
        <f t="shared" ca="1" si="66"/>
        <v>10325.025698555257</v>
      </c>
      <c r="BX78" s="32" t="e">
        <f>NA()</f>
        <v>#N/A</v>
      </c>
      <c r="BY78" s="32">
        <f t="shared" si="7"/>
        <v>78</v>
      </c>
      <c r="BZ78" s="32" t="e">
        <f>NA()</f>
        <v>#N/A</v>
      </c>
      <c r="CA78" s="32">
        <f t="shared" ca="1" si="67"/>
        <v>0.96533343014074569</v>
      </c>
      <c r="CB78" s="32">
        <f t="shared" si="68"/>
        <v>0.77762698146356835</v>
      </c>
      <c r="CC78" s="32">
        <f t="shared" si="69"/>
        <v>1.0042237669645815</v>
      </c>
      <c r="CD78" s="32">
        <f t="shared" si="70"/>
        <v>0.62656641604010022</v>
      </c>
      <c r="CE78" s="32">
        <f t="shared" si="71"/>
        <v>7.2128281085024515</v>
      </c>
      <c r="CF78" s="32">
        <f t="shared" si="72"/>
        <v>1.0388819952664878</v>
      </c>
      <c r="CG78" s="32">
        <f t="shared" si="73"/>
        <v>5.9270755277054468</v>
      </c>
      <c r="CH78" s="32">
        <f t="shared" si="74"/>
        <v>-2.5307426426884816</v>
      </c>
      <c r="CI78" s="32">
        <f t="shared" si="75"/>
        <v>0</v>
      </c>
      <c r="CJ78" s="32">
        <f t="shared" si="76"/>
        <v>0</v>
      </c>
      <c r="CK78" s="32">
        <f t="shared" si="77"/>
        <v>0.18429842726813619</v>
      </c>
      <c r="CL78" s="32">
        <f t="shared" si="78"/>
        <v>-1.559663757750925E-2</v>
      </c>
      <c r="CM78" s="32">
        <f t="shared" si="79"/>
        <v>0.81853186545817924</v>
      </c>
      <c r="CN78" s="32">
        <f t="shared" si="80"/>
        <v>0</v>
      </c>
      <c r="CO78" s="94">
        <f t="shared" ca="1" si="104"/>
        <v>1</v>
      </c>
      <c r="CP78" s="94">
        <f t="shared" ca="1" si="105"/>
        <v>1</v>
      </c>
      <c r="CQ78" s="94">
        <f t="shared" ca="1" si="106"/>
        <v>1</v>
      </c>
      <c r="CR78" s="32">
        <f t="shared" ca="1" si="81"/>
        <v>0</v>
      </c>
      <c r="CS78" s="32">
        <f t="shared" ca="1" si="82"/>
        <v>1.3667934411978424</v>
      </c>
      <c r="CT78" s="32">
        <f t="shared" ca="1" si="83"/>
        <v>1.22565867672744</v>
      </c>
      <c r="CU78" s="32">
        <f t="shared" ca="1" si="84"/>
        <v>19566.135707945828</v>
      </c>
      <c r="CV78" s="32">
        <f t="shared" ca="1" si="85"/>
        <v>5</v>
      </c>
      <c r="CW78" s="32">
        <f t="shared" ca="1" si="86"/>
        <v>0</v>
      </c>
      <c r="CX78" s="32">
        <f t="shared" ca="1" si="87"/>
        <v>1.3667934411978424</v>
      </c>
      <c r="CY78" s="32">
        <f t="shared" ca="1" si="88"/>
        <v>1.22565867672744</v>
      </c>
      <c r="CZ78" s="32">
        <f t="shared" ca="1" si="89"/>
        <v>19566.135707945828</v>
      </c>
      <c r="DA78" s="32">
        <f t="shared" ca="1" si="90"/>
        <v>5</v>
      </c>
      <c r="DB78" s="32">
        <f t="shared" ca="1" si="91"/>
        <v>0</v>
      </c>
      <c r="DC78" s="32">
        <f t="shared" ca="1" si="92"/>
        <v>1.3667934411978424</v>
      </c>
      <c r="DD78" s="32">
        <f t="shared" ca="1" si="93"/>
        <v>1.22565867672744</v>
      </c>
      <c r="DE78" s="32">
        <f t="shared" ca="1" si="94"/>
        <v>19566.135707945828</v>
      </c>
      <c r="DF78" s="32">
        <f t="shared" ca="1" si="95"/>
        <v>5</v>
      </c>
      <c r="DG78" s="32" t="s">
        <v>335</v>
      </c>
      <c r="DH78" s="32">
        <v>169</v>
      </c>
      <c r="DI78" s="32">
        <v>2052.9</v>
      </c>
      <c r="DJ78" s="32">
        <f t="shared" ca="1" si="96"/>
        <v>0.10325976128968954</v>
      </c>
      <c r="DK78" s="32">
        <f t="shared" ca="1" si="97"/>
        <v>0.27335868823956849</v>
      </c>
      <c r="DL78" s="32">
        <f t="shared" ca="1" si="98"/>
        <v>3913.2271415891655</v>
      </c>
      <c r="DM78" s="32">
        <f t="shared" ca="1" si="99"/>
        <v>0.27335868823956849</v>
      </c>
      <c r="DN78" s="32">
        <f t="shared" si="100"/>
        <v>0.28000000000000003</v>
      </c>
      <c r="DO78" s="32">
        <f t="shared" si="100"/>
        <v>0.27</v>
      </c>
      <c r="DP78" s="32">
        <f t="shared" si="101"/>
        <v>220</v>
      </c>
      <c r="DQ78" s="32">
        <f t="shared" ca="1" si="102"/>
        <v>0.27335868823956849</v>
      </c>
      <c r="DR78" s="32">
        <f t="shared" ca="1" si="107"/>
        <v>0.55738153484117903</v>
      </c>
      <c r="DS78" s="31">
        <f t="shared" ca="1" si="108"/>
        <v>5</v>
      </c>
      <c r="DT78" s="67"/>
    </row>
    <row r="79" spans="1:124">
      <c r="A79" s="131">
        <v>570</v>
      </c>
      <c r="B79" s="76">
        <v>575</v>
      </c>
      <c r="C79" s="76">
        <v>3</v>
      </c>
      <c r="D79" s="73">
        <v>0.28000000000000003</v>
      </c>
      <c r="E79" s="73">
        <v>0.27</v>
      </c>
      <c r="F79" s="76">
        <f>73.1*$L$9</f>
        <v>239.82939632545904</v>
      </c>
      <c r="G79" s="76">
        <v>32.5</v>
      </c>
      <c r="H79" s="76">
        <v>-44.5</v>
      </c>
      <c r="I79" s="34">
        <v>2.1</v>
      </c>
      <c r="J79" s="76">
        <v>32</v>
      </c>
      <c r="K79" s="76">
        <v>100</v>
      </c>
      <c r="L79" s="76">
        <v>1010</v>
      </c>
      <c r="M79" s="33">
        <f t="shared" si="8"/>
        <v>5</v>
      </c>
      <c r="N79" s="34">
        <f t="shared" si="9"/>
        <v>7.3529411764705881E-3</v>
      </c>
      <c r="O79" s="73">
        <f t="shared" ca="1" si="10"/>
        <v>0.27256224008405633</v>
      </c>
      <c r="P79" s="34">
        <f t="shared" ca="1" si="11"/>
        <v>0.88211317342607509</v>
      </c>
      <c r="Q79" s="74">
        <f t="shared" ca="1" si="12"/>
        <v>3334.8225520999463</v>
      </c>
      <c r="R79" s="34">
        <f t="shared" ca="1" si="13"/>
        <v>0.29884346506798459</v>
      </c>
      <c r="S79" s="34">
        <f t="shared" ca="1" si="14"/>
        <v>0.24043074255666669</v>
      </c>
      <c r="T79" s="93" t="str">
        <f t="shared" ca="1" si="103"/>
        <v xml:space="preserve">  WET</v>
      </c>
      <c r="U79" s="74">
        <f t="shared" ca="1" si="15"/>
        <v>5427.2697768146791</v>
      </c>
      <c r="V79" s="74">
        <f t="shared" ca="1" si="16"/>
        <v>2655.8711085537029</v>
      </c>
      <c r="W79" s="34">
        <f t="shared" ca="1" si="17"/>
        <v>0.82708159495786582</v>
      </c>
      <c r="X79" s="34">
        <f t="shared" si="18"/>
        <v>0</v>
      </c>
      <c r="Y79" s="34">
        <f t="shared" ca="1" si="19"/>
        <v>0.17291840504213418</v>
      </c>
      <c r="Z79" s="74">
        <f t="shared" si="20"/>
        <v>440</v>
      </c>
      <c r="AA79" s="31">
        <f t="shared" si="21"/>
        <v>0.23250000000000001</v>
      </c>
      <c r="AB79" s="32">
        <f t="shared" ca="1" si="22"/>
        <v>32.131497527389634</v>
      </c>
      <c r="AC79" s="32">
        <f t="shared" ca="1" si="23"/>
        <v>240.4307425566667</v>
      </c>
      <c r="AD79" s="75">
        <f t="shared" si="24"/>
        <v>19.485294117647058</v>
      </c>
      <c r="AE79" s="75">
        <f t="shared" ca="1" si="25"/>
        <v>1908.2247696596037</v>
      </c>
      <c r="AF79" s="75">
        <f t="shared" ca="1" si="26"/>
        <v>2200.2723038613071</v>
      </c>
      <c r="AG79" s="32">
        <f t="shared" ca="1" si="27"/>
        <v>1.4603418618232547E-2</v>
      </c>
      <c r="AH79" s="32" t="str">
        <f t="shared" ca="1" si="28"/>
        <v xml:space="preserve">    NO</v>
      </c>
      <c r="AI79" s="32">
        <f t="shared" si="29"/>
        <v>24.5</v>
      </c>
      <c r="AJ79" s="32">
        <f t="shared" si="30"/>
        <v>7.3529411764705881E-3</v>
      </c>
      <c r="AK79" s="32">
        <f t="shared" si="31"/>
        <v>1</v>
      </c>
      <c r="AL79" s="32">
        <f t="shared" si="32"/>
        <v>0.11</v>
      </c>
      <c r="AM79" s="32">
        <f t="shared" si="33"/>
        <v>0.1666666666666668</v>
      </c>
      <c r="AN79" s="32">
        <f t="shared" si="34"/>
        <v>7.3529411764705881E-3</v>
      </c>
      <c r="AO79" s="32">
        <f t="shared" si="35"/>
        <v>2204.5</v>
      </c>
      <c r="AP79" s="32">
        <f t="shared" si="36"/>
        <v>0.27</v>
      </c>
      <c r="AQ79" s="32">
        <f t="shared" si="37"/>
        <v>0.30800000000000005</v>
      </c>
      <c r="AR79" s="32">
        <f t="shared" si="38"/>
        <v>0.13202552719200883</v>
      </c>
      <c r="AS79" s="32">
        <f t="shared" si="39"/>
        <v>0.27</v>
      </c>
      <c r="AT79" s="32">
        <f t="shared" si="40"/>
        <v>0.30632352941176477</v>
      </c>
      <c r="AU79" s="32">
        <f t="shared" si="41"/>
        <v>0.27</v>
      </c>
      <c r="AV79" s="32">
        <f t="shared" si="42"/>
        <v>0.29173913043478261</v>
      </c>
      <c r="AW79" s="32">
        <f t="shared" si="43"/>
        <v>0.29089783281733744</v>
      </c>
      <c r="AX79" s="32">
        <f t="shared" si="44"/>
        <v>0.30000000000000004</v>
      </c>
      <c r="AY79" s="32">
        <f t="shared" si="45"/>
        <v>0.24852941176470592</v>
      </c>
      <c r="AZ79" s="32">
        <f t="shared" si="46"/>
        <v>0.27256224008405633</v>
      </c>
      <c r="BA79" s="32">
        <f t="shared" si="47"/>
        <v>2655.8711085537029</v>
      </c>
      <c r="BB79" s="32">
        <f t="shared" si="48"/>
        <v>0.27256224008405633</v>
      </c>
      <c r="BC79" s="32">
        <f t="shared" ca="1" si="49"/>
        <v>2660.2988167708918</v>
      </c>
      <c r="BD79" s="32">
        <f t="shared" ca="1" si="50"/>
        <v>0.27452818261797779</v>
      </c>
      <c r="BE79" s="32">
        <f t="shared" si="51"/>
        <v>0.33750000000000002</v>
      </c>
      <c r="BF79" s="32">
        <f t="shared" ca="1" si="52"/>
        <v>0.27256224008405633</v>
      </c>
      <c r="BG79" s="32">
        <f t="shared" ca="1" si="53"/>
        <v>0.88623688790590105</v>
      </c>
      <c r="BH79" s="32">
        <f t="shared" ca="1" si="54"/>
        <v>2.338922115452061</v>
      </c>
      <c r="BI79" s="32">
        <f t="shared" ca="1" si="55"/>
        <v>8.5989783656325767E-4</v>
      </c>
      <c r="BJ79" s="32">
        <f t="shared" ca="1" si="56"/>
        <v>0.88211317342607509</v>
      </c>
      <c r="BK79" s="32">
        <f t="shared" si="57"/>
        <v>1.0015113599252932</v>
      </c>
      <c r="BL79" s="32">
        <f t="shared" si="58"/>
        <v>2.0389752438915858</v>
      </c>
      <c r="BM79" s="32">
        <f t="shared" si="59"/>
        <v>0.82441398255398879</v>
      </c>
      <c r="BN79" s="32">
        <f t="shared" ca="1" si="60"/>
        <v>0.87900884514572075</v>
      </c>
      <c r="BO79" s="32">
        <f t="shared" ca="1" si="61"/>
        <v>0.1108819116430137</v>
      </c>
      <c r="BP79" s="32">
        <f t="shared" ca="1" si="62"/>
        <v>0.1108819116430137</v>
      </c>
      <c r="BQ79" s="32" t="e">
        <f>NA()</f>
        <v>#N/A</v>
      </c>
      <c r="BR79" s="32" t="e">
        <f>NA()</f>
        <v>#N/A</v>
      </c>
      <c r="BS79" s="32" t="e">
        <f>NA()</f>
        <v>#N/A</v>
      </c>
      <c r="BT79" s="32">
        <f t="shared" ca="1" si="63"/>
        <v>3334.8225520999463</v>
      </c>
      <c r="BU79" s="32">
        <f t="shared" ca="1" si="64"/>
        <v>1404.6690875765375</v>
      </c>
      <c r="BV79" s="32">
        <f t="shared" ca="1" si="65"/>
        <v>2066.2340824578446</v>
      </c>
      <c r="BW79" s="32">
        <f t="shared" ca="1" si="66"/>
        <v>9916.7481044498909</v>
      </c>
      <c r="BX79" s="32" t="e">
        <f>NA()</f>
        <v>#N/A</v>
      </c>
      <c r="BY79" s="32">
        <f t="shared" si="7"/>
        <v>79</v>
      </c>
      <c r="BZ79" s="32" t="e">
        <f>NA()</f>
        <v>#N/A</v>
      </c>
      <c r="CA79" s="32">
        <f t="shared" ca="1" si="67"/>
        <v>0.97331314293771398</v>
      </c>
      <c r="CB79" s="32">
        <f t="shared" si="68"/>
        <v>0.79551013796362813</v>
      </c>
      <c r="CC79" s="32">
        <f t="shared" si="69"/>
        <v>1.0202506961076387</v>
      </c>
      <c r="CD79" s="32">
        <f t="shared" si="70"/>
        <v>0.62779497764017889</v>
      </c>
      <c r="CE79" s="32">
        <f t="shared" si="71"/>
        <v>7.7077376046950787</v>
      </c>
      <c r="CF79" s="32">
        <f t="shared" si="72"/>
        <v>1.052390875267353</v>
      </c>
      <c r="CG79" s="32">
        <f t="shared" si="73"/>
        <v>6.3892269230886187</v>
      </c>
      <c r="CH79" s="32">
        <f t="shared" si="74"/>
        <v>-2.7385491775654129</v>
      </c>
      <c r="CI79" s="32">
        <f t="shared" si="75"/>
        <v>0</v>
      </c>
      <c r="CJ79" s="32">
        <f t="shared" si="76"/>
        <v>0</v>
      </c>
      <c r="CK79" s="32">
        <f t="shared" si="77"/>
        <v>0.17663372596626409</v>
      </c>
      <c r="CL79" s="32">
        <f t="shared" si="78"/>
        <v>-2.1485977292149027E-2</v>
      </c>
      <c r="CM79" s="32">
        <f t="shared" si="79"/>
        <v>0.82708159495786582</v>
      </c>
      <c r="CN79" s="32">
        <f t="shared" si="80"/>
        <v>0</v>
      </c>
      <c r="CO79" s="94">
        <f t="shared" ca="1" si="104"/>
        <v>1</v>
      </c>
      <c r="CP79" s="94">
        <f t="shared" ca="1" si="105"/>
        <v>0</v>
      </c>
      <c r="CQ79" s="94">
        <f t="shared" ca="1" si="106"/>
        <v>0</v>
      </c>
      <c r="CR79" s="32">
        <f t="shared" ca="1" si="81"/>
        <v>3.6764705882352942E-2</v>
      </c>
      <c r="CS79" s="32">
        <f t="shared" ca="1" si="82"/>
        <v>1.3628112004202817</v>
      </c>
      <c r="CT79" s="32">
        <f t="shared" ca="1" si="83"/>
        <v>0.16065748763694818</v>
      </c>
      <c r="CU79" s="32">
        <f t="shared" ca="1" si="84"/>
        <v>16674.112760499731</v>
      </c>
      <c r="CV79" s="32">
        <f t="shared" ca="1" si="85"/>
        <v>5</v>
      </c>
      <c r="CW79" s="32">
        <f t="shared" ca="1" si="86"/>
        <v>0</v>
      </c>
      <c r="CX79" s="32">
        <f t="shared" ca="1" si="87"/>
        <v>0</v>
      </c>
      <c r="CY79" s="32">
        <f t="shared" ca="1" si="88"/>
        <v>0</v>
      </c>
      <c r="CZ79" s="32">
        <f t="shared" ca="1" si="89"/>
        <v>0</v>
      </c>
      <c r="DA79" s="32">
        <f t="shared" ca="1" si="90"/>
        <v>0</v>
      </c>
      <c r="DB79" s="32">
        <f t="shared" ca="1" si="91"/>
        <v>0</v>
      </c>
      <c r="DC79" s="32">
        <f t="shared" ca="1" si="92"/>
        <v>0</v>
      </c>
      <c r="DD79" s="32">
        <f t="shared" ca="1" si="93"/>
        <v>0</v>
      </c>
      <c r="DE79" s="32">
        <f t="shared" ca="1" si="94"/>
        <v>0</v>
      </c>
      <c r="DF79" s="32">
        <f t="shared" ca="1" si="95"/>
        <v>0</v>
      </c>
      <c r="DG79" s="32" t="s">
        <v>335</v>
      </c>
      <c r="DH79" s="32">
        <v>169</v>
      </c>
      <c r="DI79" s="32">
        <v>2052.9</v>
      </c>
      <c r="DJ79" s="32">
        <f t="shared" ca="1" si="96"/>
        <v>0.88211317342607509</v>
      </c>
      <c r="DK79" s="32">
        <f t="shared" ca="1" si="97"/>
        <v>0.27256224008405633</v>
      </c>
      <c r="DL79" s="32">
        <f t="shared" ca="1" si="98"/>
        <v>3334.8225520999463</v>
      </c>
      <c r="DM79" s="32">
        <f t="shared" ca="1" si="99"/>
        <v>0.27256224008405633</v>
      </c>
      <c r="DN79" s="32">
        <f t="shared" si="100"/>
        <v>0.28000000000000003</v>
      </c>
      <c r="DO79" s="32">
        <f t="shared" si="100"/>
        <v>0.27</v>
      </c>
      <c r="DP79" s="32">
        <f t="shared" si="101"/>
        <v>3</v>
      </c>
      <c r="DQ79" s="32">
        <f t="shared" ca="1" si="102"/>
        <v>0.27256224008405633</v>
      </c>
      <c r="DR79" s="32">
        <f t="shared" ca="1" si="107"/>
        <v>0</v>
      </c>
      <c r="DS79" s="31">
        <f t="shared" ca="1" si="108"/>
        <v>0</v>
      </c>
      <c r="DT79" s="67"/>
    </row>
    <row r="80" spans="1:124" ht="13.5" thickBot="1">
      <c r="A80" s="132">
        <v>575</v>
      </c>
      <c r="B80" s="76">
        <v>580</v>
      </c>
      <c r="C80" s="76">
        <v>400</v>
      </c>
      <c r="D80" s="73">
        <v>0.25</v>
      </c>
      <c r="E80" s="73">
        <v>0.18</v>
      </c>
      <c r="F80" s="76">
        <f>66.4*$L$9</f>
        <v>217.84776902887117</v>
      </c>
      <c r="G80" s="76">
        <v>36.8333333333333</v>
      </c>
      <c r="H80" s="76">
        <v>-40</v>
      </c>
      <c r="I80" s="34">
        <v>5.0999999999999996</v>
      </c>
      <c r="J80" s="76">
        <v>32</v>
      </c>
      <c r="K80" s="76">
        <v>100</v>
      </c>
      <c r="L80" s="76">
        <v>1010</v>
      </c>
      <c r="M80" s="33">
        <f t="shared" si="8"/>
        <v>5</v>
      </c>
      <c r="N80" s="34">
        <f t="shared" si="9"/>
        <v>7.1078431372548531E-2</v>
      </c>
      <c r="O80" s="73">
        <f t="shared" ca="1" si="10"/>
        <v>0.20771202272849926</v>
      </c>
      <c r="P80" s="34">
        <f t="shared" ca="1" si="11"/>
        <v>8.6015991968384789E-2</v>
      </c>
      <c r="Q80" s="74">
        <f t="shared" ca="1" si="12"/>
        <v>1085.4539553629347</v>
      </c>
      <c r="R80" s="34">
        <f t="shared" ca="1" si="13"/>
        <v>-12.855138705072727</v>
      </c>
      <c r="S80" s="34">
        <f t="shared" ca="1" si="14"/>
        <v>1.7866555678751551E-2</v>
      </c>
      <c r="T80" s="93" t="str">
        <f t="shared" ca="1" si="103"/>
        <v xml:space="preserve">  OIL</v>
      </c>
      <c r="U80" s="74">
        <f t="shared" ca="1" si="15"/>
        <v>5427.2697768146791</v>
      </c>
      <c r="V80" s="74">
        <f t="shared" ca="1" si="16"/>
        <v>2713.4002111619725</v>
      </c>
      <c r="W80" s="34">
        <f t="shared" ca="1" si="17"/>
        <v>0</v>
      </c>
      <c r="X80" s="34">
        <f t="shared" si="18"/>
        <v>0</v>
      </c>
      <c r="Y80" s="34">
        <f t="shared" ca="1" si="19"/>
        <v>1</v>
      </c>
      <c r="Z80" s="74">
        <f t="shared" si="20"/>
        <v>435</v>
      </c>
      <c r="AA80" s="31">
        <f t="shared" si="21"/>
        <v>0.23207956600361662</v>
      </c>
      <c r="AB80" s="32">
        <f t="shared" ca="1" si="22"/>
        <v>189.8454670497477</v>
      </c>
      <c r="AC80" s="32">
        <f t="shared" ca="1" si="23"/>
        <v>17.866555678751549</v>
      </c>
      <c r="AD80" s="75">
        <f t="shared" si="24"/>
        <v>188.35784313725361</v>
      </c>
      <c r="AE80" s="75">
        <f t="shared" ca="1" si="25"/>
        <v>1911.2052966322235</v>
      </c>
      <c r="AF80" s="75">
        <f t="shared" ca="1" si="26"/>
        <v>2307.2751624979765</v>
      </c>
      <c r="AG80" s="32">
        <f t="shared" ca="1" si="27"/>
        <v>8.2281242452335465E-2</v>
      </c>
      <c r="AH80" s="32" t="str">
        <f t="shared" ca="1" si="28"/>
        <v xml:space="preserve"> TAR PAY</v>
      </c>
      <c r="AI80" s="32">
        <f t="shared" si="29"/>
        <v>24.583333333333336</v>
      </c>
      <c r="AJ80" s="32">
        <f t="shared" si="30"/>
        <v>7.1078431372548531E-2</v>
      </c>
      <c r="AK80" s="32">
        <f t="shared" si="31"/>
        <v>1</v>
      </c>
      <c r="AL80" s="32">
        <f t="shared" si="32"/>
        <v>0.2</v>
      </c>
      <c r="AM80" s="32">
        <f t="shared" si="33"/>
        <v>0.42982456140350889</v>
      </c>
      <c r="AN80" s="32">
        <f t="shared" si="34"/>
        <v>7.1078431372548531E-2</v>
      </c>
      <c r="AO80" s="32">
        <f t="shared" si="35"/>
        <v>2353</v>
      </c>
      <c r="AP80" s="32">
        <f t="shared" si="36"/>
        <v>0.18</v>
      </c>
      <c r="AQ80" s="32">
        <f t="shared" si="37"/>
        <v>0.27800000000000002</v>
      </c>
      <c r="AR80" s="32">
        <f t="shared" si="38"/>
        <v>7.4485756566777736E-2</v>
      </c>
      <c r="AS80" s="32">
        <f t="shared" si="39"/>
        <v>0.18</v>
      </c>
      <c r="AT80" s="32">
        <f t="shared" si="40"/>
        <v>0.26179411764705895</v>
      </c>
      <c r="AU80" s="32">
        <f t="shared" si="41"/>
        <v>0.18</v>
      </c>
      <c r="AV80" s="32">
        <f t="shared" si="42"/>
        <v>0.23606407322654457</v>
      </c>
      <c r="AW80" s="32">
        <f t="shared" si="43"/>
        <v>0.22793152959124155</v>
      </c>
      <c r="AX80" s="32">
        <f t="shared" si="44"/>
        <v>0.21</v>
      </c>
      <c r="AY80" s="32">
        <f t="shared" si="45"/>
        <v>0.2057843137254903</v>
      </c>
      <c r="AZ80" s="32">
        <f t="shared" si="46"/>
        <v>0.20771202272849926</v>
      </c>
      <c r="BA80" s="32">
        <f t="shared" si="47"/>
        <v>2713.4002111619725</v>
      </c>
      <c r="BB80" s="32">
        <f t="shared" si="48"/>
        <v>0.20771202272849926</v>
      </c>
      <c r="BC80" s="32">
        <f t="shared" ca="1" si="49"/>
        <v>2705.7352941176468</v>
      </c>
      <c r="BD80" s="32">
        <f t="shared" ca="1" si="50"/>
        <v>0.20679368911113016</v>
      </c>
      <c r="BE80" s="32">
        <f t="shared" si="51"/>
        <v>0.31583333333333352</v>
      </c>
      <c r="BF80" s="32">
        <f t="shared" ca="1" si="52"/>
        <v>0.20771202272849926</v>
      </c>
      <c r="BG80" s="32">
        <f t="shared" ca="1" si="53"/>
        <v>0.10268058424999933</v>
      </c>
      <c r="BH80" s="32">
        <f t="shared" ca="1" si="54"/>
        <v>3.9175603948511188</v>
      </c>
      <c r="BI80" s="32">
        <f t="shared" ca="1" si="55"/>
        <v>1.3922702383661969E-2</v>
      </c>
      <c r="BJ80" s="32">
        <f t="shared" ca="1" si="56"/>
        <v>8.6015991968384789E-2</v>
      </c>
      <c r="BK80" s="32">
        <f t="shared" si="57"/>
        <v>1.0179591187152301</v>
      </c>
      <c r="BL80" s="32">
        <f t="shared" si="58"/>
        <v>3.2609879519015497</v>
      </c>
      <c r="BM80" s="32">
        <f t="shared" si="59"/>
        <v>9.0291028788877334E-2</v>
      </c>
      <c r="BN80" s="32">
        <f t="shared" ca="1" si="60"/>
        <v>6.343196232508827E-2</v>
      </c>
      <c r="BO80" s="32">
        <f t="shared" ca="1" si="61"/>
        <v>0.15548216269641194</v>
      </c>
      <c r="BP80" s="32">
        <f t="shared" ca="1" si="62"/>
        <v>8.6015991968384789E-2</v>
      </c>
      <c r="BQ80" s="32" t="e">
        <f>NA()</f>
        <v>#N/A</v>
      </c>
      <c r="BR80" s="32" t="e">
        <f>NA()</f>
        <v>#N/A</v>
      </c>
      <c r="BS80" s="32" t="e">
        <f>NA()</f>
        <v>#N/A</v>
      </c>
      <c r="BT80" s="32">
        <f t="shared" ca="1" si="63"/>
        <v>1085.4539553629347</v>
      </c>
      <c r="BU80" s="32">
        <f t="shared" ca="1" si="64"/>
        <v>706.18613840782746</v>
      </c>
      <c r="BV80" s="32">
        <f t="shared" ca="1" si="65"/>
        <v>1388.1438729788756</v>
      </c>
      <c r="BW80" s="32">
        <f t="shared" ca="1" si="66"/>
        <v>371.2483225630931</v>
      </c>
      <c r="BX80" s="32" t="e">
        <f>NA()</f>
        <v>#N/A</v>
      </c>
      <c r="BY80" s="32">
        <f t="shared" si="7"/>
        <v>80</v>
      </c>
      <c r="BZ80" s="32" t="e">
        <f>NA()</f>
        <v>#N/A</v>
      </c>
      <c r="CA80" s="32">
        <f t="shared" ca="1" si="67"/>
        <v>0.71181722199103414</v>
      </c>
      <c r="CB80" s="32">
        <f t="shared" si="68"/>
        <v>-1.3015604641287999</v>
      </c>
      <c r="CC80" s="32">
        <f t="shared" si="69"/>
        <v>0.9639488789033559</v>
      </c>
      <c r="CD80" s="32">
        <f t="shared" si="70"/>
        <v>0.58791597177771082</v>
      </c>
      <c r="CE80" s="32">
        <f t="shared" si="71"/>
        <v>5.9691447814172882</v>
      </c>
      <c r="CF80" s="32">
        <f t="shared" si="72"/>
        <v>0.61389377042916038</v>
      </c>
      <c r="CG80" s="32">
        <f t="shared" si="73"/>
        <v>5.1411166585824049</v>
      </c>
      <c r="CH80" s="32">
        <f t="shared" si="74"/>
        <v>-1.7753216492277053</v>
      </c>
      <c r="CI80" s="32">
        <f t="shared" si="75"/>
        <v>0</v>
      </c>
      <c r="CJ80" s="32">
        <f t="shared" si="76"/>
        <v>0</v>
      </c>
      <c r="CK80" s="32">
        <f t="shared" si="77"/>
        <v>1.0690036027407677</v>
      </c>
      <c r="CL80" s="32">
        <f t="shared" si="78"/>
        <v>-3.3636591021534643E-3</v>
      </c>
      <c r="CM80" s="32">
        <f t="shared" si="79"/>
        <v>0</v>
      </c>
      <c r="CN80" s="32">
        <f t="shared" si="80"/>
        <v>0</v>
      </c>
      <c r="CO80" s="94">
        <f t="shared" ca="1" si="104"/>
        <v>1</v>
      </c>
      <c r="CP80" s="94">
        <f t="shared" ca="1" si="105"/>
        <v>1</v>
      </c>
      <c r="CQ80" s="94">
        <f t="shared" ca="1" si="106"/>
        <v>1</v>
      </c>
      <c r="CR80" s="32">
        <f t="shared" ca="1" si="81"/>
        <v>0.35539215686274267</v>
      </c>
      <c r="CS80" s="32">
        <f t="shared" ca="1" si="82"/>
        <v>1.0385601136424962</v>
      </c>
      <c r="CT80" s="32">
        <f t="shared" ca="1" si="83"/>
        <v>0.94922733524873848</v>
      </c>
      <c r="CU80" s="32">
        <f t="shared" ca="1" si="84"/>
        <v>5427.2697768146736</v>
      </c>
      <c r="CV80" s="32">
        <f t="shared" ca="1" si="85"/>
        <v>5</v>
      </c>
      <c r="CW80" s="32">
        <f t="shared" ca="1" si="86"/>
        <v>0.35539215686274267</v>
      </c>
      <c r="CX80" s="32">
        <f t="shared" ca="1" si="87"/>
        <v>1.0385601136424962</v>
      </c>
      <c r="CY80" s="32">
        <f t="shared" ca="1" si="88"/>
        <v>0.94922733524873848</v>
      </c>
      <c r="CZ80" s="32">
        <f t="shared" ca="1" si="89"/>
        <v>5427.2697768146736</v>
      </c>
      <c r="DA80" s="32">
        <f t="shared" ca="1" si="90"/>
        <v>5</v>
      </c>
      <c r="DB80" s="32">
        <f t="shared" ca="1" si="91"/>
        <v>0.35539215686274267</v>
      </c>
      <c r="DC80" s="32">
        <f t="shared" ca="1" si="92"/>
        <v>1.0385601136424962</v>
      </c>
      <c r="DD80" s="32">
        <f t="shared" ca="1" si="93"/>
        <v>0.94922733524873848</v>
      </c>
      <c r="DE80" s="32">
        <f t="shared" ca="1" si="94"/>
        <v>5427.2697768146736</v>
      </c>
      <c r="DF80" s="32">
        <f t="shared" ca="1" si="95"/>
        <v>5</v>
      </c>
      <c r="DG80" s="32" t="s">
        <v>335</v>
      </c>
      <c r="DH80" s="32">
        <v>169</v>
      </c>
      <c r="DI80" s="32">
        <v>2052.9</v>
      </c>
      <c r="DJ80" s="32">
        <f t="shared" ca="1" si="96"/>
        <v>8.6015991968384789E-2</v>
      </c>
      <c r="DK80" s="32">
        <f t="shared" ca="1" si="97"/>
        <v>0.20771202272849926</v>
      </c>
      <c r="DL80" s="32">
        <f t="shared" ca="1" si="98"/>
        <v>1085.4539553629347</v>
      </c>
      <c r="DM80" s="32">
        <f t="shared" ca="1" si="99"/>
        <v>0.20771202272849926</v>
      </c>
      <c r="DN80" s="32">
        <f t="shared" si="100"/>
        <v>0.25</v>
      </c>
      <c r="DO80" s="32">
        <f t="shared" si="100"/>
        <v>0.18</v>
      </c>
      <c r="DP80" s="32">
        <f t="shared" si="101"/>
        <v>400</v>
      </c>
      <c r="DQ80" s="32">
        <f t="shared" ca="1" si="102"/>
        <v>0.20771202272849926</v>
      </c>
      <c r="DR80" s="32">
        <f t="shared" ca="1" si="107"/>
        <v>0.41140621226167734</v>
      </c>
      <c r="DS80" s="31">
        <f t="shared" ca="1" si="108"/>
        <v>5</v>
      </c>
      <c r="DT80" s="67"/>
    </row>
    <row r="81" spans="1:124" ht="14.25" thickTop="1" thickBot="1">
      <c r="A81" s="77"/>
      <c r="B81" s="78"/>
      <c r="C81" s="78"/>
      <c r="D81" s="78"/>
      <c r="E81" s="78"/>
      <c r="F81" s="78"/>
      <c r="G81" s="78"/>
      <c r="H81" s="78"/>
      <c r="I81" s="78"/>
      <c r="J81" s="78"/>
      <c r="K81" s="78" t="s">
        <v>507</v>
      </c>
      <c r="L81" s="78"/>
      <c r="M81" s="77"/>
      <c r="N81" s="78"/>
      <c r="O81" s="79" t="s">
        <v>464</v>
      </c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32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>
        <f t="shared" si="7"/>
        <v>81</v>
      </c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 t="s">
        <v>335</v>
      </c>
      <c r="DH81" s="26"/>
      <c r="DI81" s="26"/>
      <c r="DJ81" s="37"/>
      <c r="DK81" s="80"/>
      <c r="DL81" s="80"/>
      <c r="DM81" s="80"/>
      <c r="DN81" s="80"/>
      <c r="DO81" s="80"/>
      <c r="DP81" s="80"/>
      <c r="DQ81" s="80"/>
      <c r="DR81" s="80"/>
      <c r="DS81" s="35"/>
      <c r="DT81" s="35"/>
    </row>
    <row r="82" spans="1:124" ht="13.5" thickTop="1">
      <c r="A82" s="81"/>
      <c r="B82" s="82"/>
      <c r="C82" s="81" t="s">
        <v>465</v>
      </c>
      <c r="D82" s="82"/>
      <c r="E82" s="82"/>
      <c r="F82" s="82"/>
      <c r="G82" s="82"/>
      <c r="H82" s="82"/>
      <c r="I82" s="82"/>
      <c r="J82" s="82"/>
      <c r="K82" s="82"/>
      <c r="L82" s="82"/>
      <c r="M82" s="25"/>
      <c r="N82" s="29" t="s">
        <v>466</v>
      </c>
      <c r="O82" s="83"/>
      <c r="P82" s="27"/>
      <c r="Q82" s="27"/>
      <c r="R82" s="27" t="s">
        <v>467</v>
      </c>
      <c r="S82" s="27"/>
      <c r="T82" s="27"/>
      <c r="U82" s="27"/>
      <c r="V82" s="27"/>
      <c r="W82" s="27" t="s">
        <v>468</v>
      </c>
      <c r="X82" s="27"/>
      <c r="Y82" s="27"/>
      <c r="Z82" s="27"/>
      <c r="AA82" s="29"/>
      <c r="AB82" s="66"/>
      <c r="AC82" s="66"/>
      <c r="AD82" s="31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>
        <f t="shared" si="7"/>
        <v>82</v>
      </c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 t="s">
        <v>335</v>
      </c>
      <c r="DH82" s="32"/>
      <c r="DI82" s="32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</row>
    <row r="83" spans="1:124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31"/>
      <c r="N83" s="38" t="s">
        <v>351</v>
      </c>
      <c r="O83" s="84" t="s">
        <v>469</v>
      </c>
      <c r="P83" s="39" t="str">
        <f>IF($I$51,"  GasSat","  OilSat")</f>
        <v xml:space="preserve">  OilSat</v>
      </c>
      <c r="Q83" s="54" t="s">
        <v>353</v>
      </c>
      <c r="R83" s="54" t="s">
        <v>470</v>
      </c>
      <c r="S83" s="39" t="str">
        <f>IF($I$51,"  Gas Vol","  Oil Vol")</f>
        <v xml:space="preserve">  Oil Vol</v>
      </c>
      <c r="T83" s="54" t="s">
        <v>471</v>
      </c>
      <c r="U83" s="54" t="s">
        <v>472</v>
      </c>
      <c r="V83" s="39"/>
      <c r="W83" s="54" t="s">
        <v>351</v>
      </c>
      <c r="X83" s="54" t="s">
        <v>352</v>
      </c>
      <c r="Y83" s="54" t="s">
        <v>473</v>
      </c>
      <c r="Z83" s="54" t="s">
        <v>353</v>
      </c>
      <c r="AA83" s="85" t="s">
        <v>474</v>
      </c>
      <c r="AB83" s="38"/>
      <c r="AC83" s="54"/>
      <c r="AD83" s="31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>
        <f t="shared" si="7"/>
        <v>83</v>
      </c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 t="s">
        <v>335</v>
      </c>
      <c r="DH83" s="32"/>
      <c r="DI83" s="32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</row>
    <row r="84" spans="1:124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31"/>
      <c r="N84" s="38" t="s">
        <v>424</v>
      </c>
      <c r="O84" s="84" t="s">
        <v>424</v>
      </c>
      <c r="P84" s="54" t="s">
        <v>424</v>
      </c>
      <c r="Q84" s="54" t="s">
        <v>425</v>
      </c>
      <c r="R84" s="39" t="str">
        <f>"     "&amp;$L$24</f>
        <v xml:space="preserve">     meters</v>
      </c>
      <c r="S84" s="39" t="str">
        <f>"  "&amp;$L$24</f>
        <v xml:space="preserve">  meters</v>
      </c>
      <c r="T84" s="39" t="str">
        <f>"      "&amp;$L$32</f>
        <v xml:space="preserve">      md-m</v>
      </c>
      <c r="U84" s="39" t="str">
        <f>"   "&amp;$L$24</f>
        <v xml:space="preserve">   meters</v>
      </c>
      <c r="V84" s="39"/>
      <c r="W84" s="54" t="s">
        <v>424</v>
      </c>
      <c r="X84" s="54" t="s">
        <v>424</v>
      </c>
      <c r="Y84" s="54" t="s">
        <v>424</v>
      </c>
      <c r="Z84" s="54" t="s">
        <v>425</v>
      </c>
      <c r="AA84" s="38" t="s">
        <v>475</v>
      </c>
      <c r="AB84" s="54" t="s">
        <v>476</v>
      </c>
      <c r="AC84" s="54" t="s">
        <v>477</v>
      </c>
      <c r="AD84" s="31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>
        <f t="shared" si="7"/>
        <v>84</v>
      </c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 t="s">
        <v>335</v>
      </c>
      <c r="DH84" s="32"/>
      <c r="DI84" s="32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</row>
    <row r="85" spans="1:124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31"/>
      <c r="N85" s="30">
        <f ca="1">IF(U85&gt;0,SUM(CR73:CR81)/U85,0)</f>
        <v>0.16194607843137243</v>
      </c>
      <c r="O85" s="72">
        <f ca="1">IF(U85&gt;0,R85/U85,0)</f>
        <v>0.20910870360860928</v>
      </c>
      <c r="P85" s="36">
        <f ca="1">IF(R85&gt;0,S85/R85,1)</f>
        <v>0.62839713429437927</v>
      </c>
      <c r="Q85" s="86">
        <f ca="1">IF(U85&gt;0,T85/U85,0)</f>
        <v>4862.6885305071173</v>
      </c>
      <c r="R85" s="36">
        <f ca="1">SUM(CS73:CS81)</f>
        <v>8.3643481443443708</v>
      </c>
      <c r="S85" s="36">
        <f ca="1">SUM(CT73:CT81)</f>
        <v>5.2561324041465118</v>
      </c>
      <c r="T85" s="86">
        <f ca="1">SUM(CU73:CU81)</f>
        <v>194507.54122028471</v>
      </c>
      <c r="U85" s="36">
        <f ca="1">SUM(CV73:CV81)</f>
        <v>40</v>
      </c>
      <c r="V85" s="36"/>
      <c r="W85" s="36">
        <f>$O$6</f>
        <v>1</v>
      </c>
      <c r="X85" s="36">
        <f>$P$6</f>
        <v>0</v>
      </c>
      <c r="Y85" s="36">
        <f>$Q$6</f>
        <v>1</v>
      </c>
      <c r="Z85" s="36">
        <f>$R$6</f>
        <v>0</v>
      </c>
      <c r="AA85" s="38" t="s">
        <v>478</v>
      </c>
      <c r="AB85" s="54" t="s">
        <v>479</v>
      </c>
      <c r="AC85" s="54" t="s">
        <v>480</v>
      </c>
      <c r="AD85" s="31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>
        <f t="shared" si="7"/>
        <v>85</v>
      </c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 t="s">
        <v>335</v>
      </c>
      <c r="DH85" s="32"/>
      <c r="DI85" s="32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</row>
    <row r="86" spans="1:124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31"/>
      <c r="N86" s="33">
        <f ca="1">IF(U86&gt;0,SUM(CW73:CW81)/U86,0)</f>
        <v>4.2348039215686042E-2</v>
      </c>
      <c r="O86" s="73">
        <f ca="1">IF(U86&gt;0,R86/U86,0)</f>
        <v>0.27193676000154887</v>
      </c>
      <c r="P86" s="34">
        <f ca="1">IF(R86&gt;0,S86/R86,1)</f>
        <v>0.91007241937975503</v>
      </c>
      <c r="Q86" s="74">
        <f ca="1">IF(U86&gt;0,T86/U86,0)</f>
        <v>6655.9111221113371</v>
      </c>
      <c r="R86" s="34">
        <f ca="1">SUM(CX72:CX82)</f>
        <v>5.4387352000309779</v>
      </c>
      <c r="S86" s="34">
        <f ca="1">SUM(CY73:CY81)</f>
        <v>4.9496429018580281</v>
      </c>
      <c r="T86" s="74">
        <f ca="1">SUM(CZ73:CZ81)</f>
        <v>133118.22244222675</v>
      </c>
      <c r="U86" s="34">
        <f ca="1">SUM(DA73:DA81)</f>
        <v>20</v>
      </c>
      <c r="V86" s="34"/>
      <c r="W86" s="34">
        <f>$O$7</f>
        <v>0.4</v>
      </c>
      <c r="X86" s="34">
        <f>$P$7</f>
        <v>0.08</v>
      </c>
      <c r="Y86" s="34">
        <f>$Q$7</f>
        <v>0.6</v>
      </c>
      <c r="Z86" s="34">
        <f>$R$7</f>
        <v>1</v>
      </c>
      <c r="AA86" s="33" t="s">
        <v>481</v>
      </c>
      <c r="AB86" s="87">
        <f>A56</f>
        <v>0.08</v>
      </c>
      <c r="AC86" s="87"/>
      <c r="AD86" s="31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>
        <f t="shared" si="7"/>
        <v>86</v>
      </c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 t="s">
        <v>335</v>
      </c>
      <c r="DH86" s="32"/>
      <c r="DI86" s="32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</row>
    <row r="87" spans="1:124">
      <c r="A87" s="81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31"/>
      <c r="N87" s="33">
        <f ca="1">IF(U87&gt;0,SUM(DB73:DB81)/U87,0)</f>
        <v>4.2348039215686042E-2</v>
      </c>
      <c r="O87" s="73">
        <f ca="1">IF(U87&gt;0,R87/U87,0)</f>
        <v>0.27193676000154887</v>
      </c>
      <c r="P87" s="34">
        <f ca="1">IF(R87&gt;0,S87/R87,1)</f>
        <v>0.91007241937975503</v>
      </c>
      <c r="Q87" s="74">
        <f ca="1">IF(U87&gt;0,T87/U87,0)</f>
        <v>6655.9111221113371</v>
      </c>
      <c r="R87" s="34">
        <f ca="1">SUM(DC73:DC82)</f>
        <v>5.4387352000309779</v>
      </c>
      <c r="S87" s="34">
        <f ca="1">SUM(DD73:DD81)</f>
        <v>4.9496429018580281</v>
      </c>
      <c r="T87" s="74">
        <f ca="1">SUM(DE73:DE81)</f>
        <v>133118.22244222675</v>
      </c>
      <c r="U87" s="34">
        <f ca="1">SUM(DF73:DF81)</f>
        <v>20</v>
      </c>
      <c r="V87" s="34"/>
      <c r="W87" s="34">
        <f>$O$8</f>
        <v>0.25</v>
      </c>
      <c r="X87" s="34">
        <f>$P$8</f>
        <v>0.1</v>
      </c>
      <c r="Y87" s="34">
        <f>$Q$8</f>
        <v>0.3</v>
      </c>
      <c r="Z87" s="34">
        <f>$R$8</f>
        <v>2</v>
      </c>
      <c r="AA87" s="88">
        <f ca="1">SUM(DR73:DR81)</f>
        <v>2.2596995965495505</v>
      </c>
      <c r="AB87" s="76">
        <f ca="1">SUM(DS73:DS81)</f>
        <v>20</v>
      </c>
      <c r="AC87" s="73">
        <f ca="1">AA87/AB87</f>
        <v>0.11298497982747753</v>
      </c>
      <c r="AD87" s="31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>
        <f t="shared" si="7"/>
        <v>87</v>
      </c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 t="s">
        <v>335</v>
      </c>
      <c r="DH87" s="32"/>
      <c r="DI87" s="32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</row>
    <row r="88" spans="1:124">
      <c r="A88" s="81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31"/>
      <c r="N88" s="33"/>
      <c r="O88" s="34" t="s">
        <v>484</v>
      </c>
      <c r="P88" s="34"/>
      <c r="Q88" s="74"/>
      <c r="R88" s="34"/>
      <c r="S88" s="34"/>
      <c r="T88" s="34"/>
      <c r="U88" s="34"/>
      <c r="V88" s="34"/>
      <c r="W88" s="34"/>
      <c r="X88" s="34"/>
      <c r="Y88" s="34"/>
      <c r="Z88" s="34"/>
      <c r="AA88" s="33" t="s">
        <v>485</v>
      </c>
      <c r="AB88" s="34"/>
      <c r="AC88" s="34"/>
      <c r="AD88" s="31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</row>
    <row r="89" spans="1:124">
      <c r="A89" s="81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31"/>
      <c r="N89" s="77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25"/>
      <c r="AB89" s="26"/>
      <c r="AC89" s="26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</row>
    <row r="90" spans="1:124">
      <c r="A90" s="81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31"/>
      <c r="N90" s="81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31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</row>
    <row r="91" spans="1:124">
      <c r="A91" s="81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31"/>
      <c r="N91" s="81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31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</row>
    <row r="92" spans="1:124">
      <c r="A92" s="81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31"/>
      <c r="N92" s="81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31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</row>
    <row r="93" spans="1:124">
      <c r="A93" s="81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31"/>
      <c r="N93" s="81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31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</row>
    <row r="94" spans="1:124">
      <c r="A94" s="81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31"/>
      <c r="N94" s="81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31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</row>
    <row r="95" spans="1:124">
      <c r="A95" s="81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31"/>
      <c r="N95" s="81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31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</row>
    <row r="96" spans="1:124">
      <c r="A96" s="81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31"/>
      <c r="N96" s="81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31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</row>
    <row r="97" spans="1:124">
      <c r="A97" s="81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31"/>
      <c r="N97" s="81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31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</row>
    <row r="98" spans="1:124">
      <c r="A98" s="81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31"/>
      <c r="N98" s="81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31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</row>
    <row r="99" spans="1:124">
      <c r="A99" s="81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31"/>
      <c r="N99" s="81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31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</row>
    <row r="100" spans="1:124">
      <c r="A100" s="81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31"/>
      <c r="N100" s="81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31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</row>
    <row r="101" spans="1:124">
      <c r="A101" s="81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31"/>
      <c r="N101" s="81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31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</row>
    <row r="102" spans="1:124">
      <c r="A102" s="81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31"/>
      <c r="N102" s="81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31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</row>
    <row r="103" spans="1:124">
      <c r="A103" s="81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31"/>
      <c r="N103" s="81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31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</row>
    <row r="104" spans="1:124">
      <c r="A104" s="81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31"/>
      <c r="N104" s="81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31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</row>
    <row r="105" spans="1:124">
      <c r="A105" s="81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31"/>
      <c r="N105" s="81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31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</row>
    <row r="106" spans="1:124">
      <c r="A106" s="81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31"/>
      <c r="N106" s="81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31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</row>
    <row r="107" spans="1:124">
      <c r="A107" s="81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1"/>
      <c r="N107" s="81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31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</row>
    <row r="108" spans="1:124">
      <c r="A108" s="81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31"/>
      <c r="N108" s="81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31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</row>
    <row r="109" spans="1:124">
      <c r="A109" s="81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31"/>
      <c r="N109" s="81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31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</row>
    <row r="110" spans="1:124">
      <c r="A110" s="81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31"/>
      <c r="N110" s="81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31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</row>
    <row r="111" spans="1:124">
      <c r="A111" s="81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31"/>
      <c r="N111" s="81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31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</row>
    <row r="112" spans="1:124">
      <c r="A112" s="81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31"/>
      <c r="N112" s="81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31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</row>
    <row r="113" spans="1:124">
      <c r="A113" s="81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31"/>
      <c r="N113" s="81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31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</row>
    <row r="114" spans="1:124">
      <c r="A114" s="81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31"/>
      <c r="N114" s="81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31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</row>
    <row r="115" spans="1:124">
      <c r="A115" s="81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31"/>
      <c r="N115" s="81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31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</row>
    <row r="116" spans="1:124">
      <c r="A116" s="81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31"/>
      <c r="N116" s="81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31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</row>
    <row r="117" spans="1:124">
      <c r="A117" s="81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31"/>
      <c r="N117" s="81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31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</row>
    <row r="118" spans="1:124">
      <c r="A118" s="81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31"/>
      <c r="N118" s="81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31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</row>
    <row r="119" spans="1:124">
      <c r="A119" s="81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31"/>
      <c r="N119" s="81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31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</row>
    <row r="120" spans="1:124">
      <c r="A120" s="81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31"/>
      <c r="N120" s="81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31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</row>
    <row r="121" spans="1:124">
      <c r="A121" s="81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31"/>
      <c r="N121" s="81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31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</row>
    <row r="122" spans="1:124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31"/>
      <c r="N122" s="81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31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</row>
    <row r="123" spans="1:124">
      <c r="A123" s="81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31"/>
      <c r="N123" s="81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31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</row>
    <row r="124" spans="1:124">
      <c r="A124" s="81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31"/>
      <c r="N124" s="81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31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</row>
    <row r="125" spans="1:124">
      <c r="A125" s="81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31"/>
      <c r="N125" s="81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31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</row>
    <row r="126" spans="1:124">
      <c r="A126" s="81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31"/>
      <c r="N126" s="81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31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</row>
    <row r="127" spans="1:124">
      <c r="A127" s="81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31"/>
      <c r="N127" s="81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31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</row>
    <row r="128" spans="1:124">
      <c r="A128" s="81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31"/>
      <c r="N128" s="81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31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</row>
    <row r="129" spans="1:124">
      <c r="A129" s="81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31"/>
      <c r="N129" s="81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31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</row>
    <row r="130" spans="1:124">
      <c r="A130" s="81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31"/>
      <c r="N130" s="81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31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</row>
    <row r="131" spans="1:124">
      <c r="A131" s="81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31"/>
      <c r="N131" s="81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31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</row>
    <row r="132" spans="1:124">
      <c r="A132" s="81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31"/>
      <c r="N132" s="81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31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</row>
    <row r="133" spans="1:124">
      <c r="A133" s="81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31"/>
      <c r="N133" s="81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31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</row>
    <row r="134" spans="1:124">
      <c r="A134" s="81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1"/>
      <c r="N134" s="81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31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</row>
    <row r="135" spans="1:124">
      <c r="A135" s="81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31"/>
      <c r="N135" s="81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31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</row>
    <row r="136" spans="1:124">
      <c r="A136" s="81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31"/>
      <c r="N136" s="81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31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</row>
    <row r="137" spans="1:124">
      <c r="A137" s="81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31"/>
      <c r="N137" s="81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31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</row>
    <row r="138" spans="1:124">
      <c r="A138" s="81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31"/>
      <c r="N138" s="81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31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</row>
    <row r="139" spans="1:124">
      <c r="A139" s="81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31"/>
      <c r="N139" s="81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31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</row>
    <row r="140" spans="1:124">
      <c r="A140" s="81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31"/>
      <c r="N140" s="81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31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</row>
    <row r="141" spans="1:124">
      <c r="A141" s="81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31"/>
      <c r="N141" s="81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31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</row>
    <row r="142" spans="1:124">
      <c r="A142" s="25"/>
      <c r="B142" s="26"/>
      <c r="C142" s="26" t="s">
        <v>482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31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31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>
        <f>BY87+1</f>
        <v>88</v>
      </c>
      <c r="BZ142" s="32" t="s">
        <v>483</v>
      </c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89" t="s">
        <v>335</v>
      </c>
      <c r="CM142" s="89" t="s">
        <v>335</v>
      </c>
      <c r="CN142" s="89" t="s">
        <v>335</v>
      </c>
      <c r="CO142" s="89" t="s">
        <v>335</v>
      </c>
      <c r="CP142" s="89" t="s">
        <v>335</v>
      </c>
      <c r="CQ142" s="89" t="s">
        <v>335</v>
      </c>
      <c r="CR142" s="89" t="s">
        <v>335</v>
      </c>
      <c r="CS142" s="89" t="s">
        <v>335</v>
      </c>
      <c r="CT142" s="89" t="s">
        <v>335</v>
      </c>
      <c r="CU142" s="89" t="s">
        <v>335</v>
      </c>
      <c r="CV142" s="89" t="s">
        <v>335</v>
      </c>
      <c r="CW142" s="89" t="s">
        <v>335</v>
      </c>
      <c r="CX142" s="89" t="s">
        <v>335</v>
      </c>
      <c r="CY142" s="89" t="s">
        <v>335</v>
      </c>
      <c r="CZ142" s="89" t="s">
        <v>335</v>
      </c>
      <c r="DA142" s="89" t="s">
        <v>335</v>
      </c>
      <c r="DB142" s="89" t="s">
        <v>335</v>
      </c>
      <c r="DC142" s="89" t="s">
        <v>335</v>
      </c>
      <c r="DD142" s="89" t="s">
        <v>335</v>
      </c>
      <c r="DE142" s="89" t="s">
        <v>335</v>
      </c>
      <c r="DF142" s="89" t="s">
        <v>335</v>
      </c>
      <c r="DG142" s="32" t="s">
        <v>335</v>
      </c>
      <c r="DH142" s="32"/>
      <c r="DI142" s="32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</row>
    <row r="143" spans="1:124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</row>
    <row r="144" spans="1:124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</row>
    <row r="145" spans="1:124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</row>
    <row r="146" spans="1:124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</row>
    <row r="147" spans="1:124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</row>
    <row r="148" spans="1:12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</row>
    <row r="149" spans="1:124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</row>
    <row r="150" spans="1:124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</row>
    <row r="151" spans="1:124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</row>
    <row r="152" spans="1:124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</row>
    <row r="153" spans="1:124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</row>
    <row r="154" spans="1:124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</row>
    <row r="155" spans="1:124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</row>
    <row r="156" spans="1:124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</row>
    <row r="157" spans="1:124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</row>
    <row r="158" spans="1:124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</row>
    <row r="159" spans="1:124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</row>
    <row r="160" spans="1:124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</row>
    <row r="161" spans="1:124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</row>
    <row r="162" spans="1:124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</row>
    <row r="163" spans="1:124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</row>
    <row r="164" spans="1:124">
      <c r="A164" s="31"/>
      <c r="B164" s="32"/>
      <c r="C164" s="32" t="s">
        <v>482</v>
      </c>
      <c r="D164" s="32"/>
      <c r="E164" s="32"/>
      <c r="F164" s="32"/>
      <c r="G164" s="32"/>
      <c r="H164" s="32"/>
      <c r="I164" s="32"/>
      <c r="J164" s="32"/>
      <c r="K164" s="32"/>
      <c r="L164" s="32"/>
      <c r="M164" s="31"/>
      <c r="N164" s="32"/>
      <c r="O164" s="32"/>
      <c r="P164" s="32"/>
      <c r="Q164" s="32"/>
      <c r="R164" s="32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</row>
    <row r="165" spans="1:124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</row>
  </sheetData>
  <mergeCells count="1">
    <mergeCell ref="I5:K5"/>
  </mergeCells>
  <phoneticPr fontId="19" type="noConversion"/>
  <hyperlinks>
    <hyperlink ref="I5" r:id="rId1"/>
  </hyperlinks>
  <pageMargins left="2.3618055555555557" right="0.25" top="3.1486111111111112" bottom="0.5854166666666667" header="0.5" footer="0.5"/>
  <pageSetup orientation="portrait" horizontalDpi="180" verticalDpi="18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4metatar</vt:lpstr>
      <vt:lpstr>ANSWERS</vt:lpstr>
      <vt:lpstr>HEADER</vt:lpstr>
      <vt:lpstr>HELP_FILE</vt:lpstr>
      <vt:lpstr>KNOWLEDGE_BASE</vt:lpstr>
      <vt:lpstr>LOGO</vt:lpstr>
      <vt:lpstr>PARAMETERS</vt:lpstr>
      <vt:lpstr>'4metatar'!Print_Area</vt:lpstr>
      <vt:lpstr>RAW_DATA</vt:lpstr>
      <vt:lpstr>RW_CALC</vt:lpstr>
      <vt:lpstr>TITLE</vt:lpstr>
      <vt:lpstr>WEASEL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2018-10-01T18:08:15Z</cp:lastPrinted>
  <dcterms:created xsi:type="dcterms:W3CDTF">2018-09-28T21:39:02Z</dcterms:created>
  <dcterms:modified xsi:type="dcterms:W3CDTF">2018-10-01T18:08:34Z</dcterms:modified>
</cp:coreProperties>
</file>