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95" windowWidth="17250" windowHeight="12105"/>
  </bookViews>
  <sheets>
    <sheet name="4metacsh" sheetId="1" r:id="rId1"/>
  </sheets>
  <definedNames>
    <definedName name="ANSWERS">'4metacsh'!$M$42:$Z$43</definedName>
    <definedName name="HEADER">'4metacsh'!$A$4:$J$12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O">'4metacsh'!$A$1:$J$3</definedName>
    <definedName name="PARAMETERS">'4metacsh'!$A$1:$J$41</definedName>
    <definedName name="RAW_DATA">'4metacsh'!$A$42:$M$43</definedName>
  </definedNames>
  <calcPr calcId="145621" calcMode="manual" iterate="1" iterateCount="10"/>
</workbook>
</file>

<file path=xl/calcChain.xml><?xml version="1.0" encoding="utf-8"?>
<calcChain xmlns="http://schemas.openxmlformats.org/spreadsheetml/2006/main">
  <c r="Z70" i="1" l="1"/>
  <c r="Z69" i="1"/>
  <c r="Y70" i="1"/>
  <c r="Y69" i="1"/>
  <c r="X70" i="1"/>
  <c r="X69" i="1"/>
  <c r="E78" i="1"/>
  <c r="M49" i="1" s="1"/>
  <c r="I78" i="1"/>
  <c r="AA70" i="1" s="1"/>
  <c r="L5" i="1"/>
  <c r="L6" i="1"/>
  <c r="P6" i="1"/>
  <c r="R6" i="1"/>
  <c r="L7" i="1"/>
  <c r="O7" i="1"/>
  <c r="P7" i="1"/>
  <c r="R7" i="1"/>
  <c r="L8" i="1"/>
  <c r="P8" i="1"/>
  <c r="R8" i="1"/>
  <c r="L9" i="1"/>
  <c r="L10" i="1"/>
  <c r="L11" i="1"/>
  <c r="L12" i="1"/>
  <c r="L13" i="1"/>
  <c r="L14" i="1"/>
  <c r="L15" i="1"/>
  <c r="L24" i="1"/>
  <c r="F16" i="1" s="1"/>
  <c r="L16" i="1"/>
  <c r="L17" i="1"/>
  <c r="L18" i="1"/>
  <c r="L19" i="1"/>
  <c r="L20" i="1"/>
  <c r="L21" i="1"/>
  <c r="L22" i="1"/>
  <c r="L23" i="1"/>
  <c r="L25" i="1"/>
  <c r="L26" i="1"/>
  <c r="L27" i="1"/>
  <c r="B57" i="1" s="1"/>
  <c r="L28" i="1"/>
  <c r="L29" i="1"/>
  <c r="L30" i="1"/>
  <c r="L31" i="1"/>
  <c r="L32" i="1"/>
  <c r="L33" i="1"/>
  <c r="L34" i="1"/>
  <c r="B72" i="1" s="1"/>
  <c r="L35" i="1"/>
  <c r="L36" i="1"/>
  <c r="L37" i="1"/>
  <c r="L38" i="1"/>
  <c r="L39" i="1"/>
  <c r="L40" i="1"/>
  <c r="E49" i="1"/>
  <c r="A57" i="1"/>
  <c r="A60" i="1" s="1"/>
  <c r="E57" i="1"/>
  <c r="A72" i="1"/>
  <c r="S72" i="1"/>
  <c r="R79" i="1"/>
  <c r="D16" i="1" l="1"/>
  <c r="F51" i="1"/>
  <c r="A63" i="1"/>
  <c r="A66" i="1" s="1"/>
  <c r="E66" i="1" s="1"/>
  <c r="I66" i="1" s="1"/>
  <c r="F48" i="1"/>
  <c r="AA69" i="1"/>
  <c r="D20" i="1"/>
  <c r="F17" i="1"/>
  <c r="B63" i="1"/>
  <c r="F50" i="1"/>
  <c r="F47" i="1"/>
  <c r="B60" i="1"/>
  <c r="F49" i="1"/>
  <c r="F46" i="1"/>
  <c r="D17" i="1"/>
  <c r="J25" i="1"/>
  <c r="F18" i="1"/>
  <c r="M68" i="1"/>
  <c r="M64" i="1"/>
  <c r="M58" i="1"/>
  <c r="M55" i="1"/>
  <c r="M67" i="1"/>
  <c r="M63" i="1"/>
  <c r="M60" i="1"/>
  <c r="M57" i="1"/>
  <c r="M54" i="1"/>
  <c r="M50" i="1"/>
  <c r="M66" i="1"/>
  <c r="M53" i="1"/>
  <c r="M65" i="1"/>
  <c r="M62" i="1"/>
  <c r="M59" i="1"/>
  <c r="M56" i="1"/>
  <c r="M51" i="1"/>
  <c r="M61" i="1"/>
  <c r="M52" i="1"/>
  <c r="I46" i="1"/>
  <c r="N46" i="1"/>
  <c r="I72" i="1"/>
  <c r="E72" i="1"/>
  <c r="D25" i="1"/>
  <c r="F19" i="1"/>
  <c r="D18" i="1"/>
  <c r="F20" i="1"/>
  <c r="D19" i="1"/>
  <c r="M48" i="1"/>
  <c r="E63" i="1" l="1"/>
  <c r="E60" i="1" s="1"/>
  <c r="I60" i="1" s="1"/>
  <c r="V58" i="1" s="1"/>
  <c r="W58" i="1" s="1"/>
  <c r="I63" i="1"/>
  <c r="I49" i="1"/>
  <c r="I51" i="1"/>
  <c r="I48" i="1"/>
  <c r="I50" i="1"/>
  <c r="F57" i="1"/>
  <c r="F60" i="1"/>
  <c r="I47" i="1"/>
  <c r="F63" i="1"/>
  <c r="T48" i="1"/>
  <c r="R74" i="1"/>
  <c r="S48" i="1"/>
  <c r="V54" i="1" l="1"/>
  <c r="W54" i="1" s="1"/>
  <c r="V53" i="1"/>
  <c r="W53" i="1" s="1"/>
  <c r="I57" i="1"/>
  <c r="V68" i="1"/>
  <c r="W68" i="1" s="1"/>
  <c r="Y68" i="1" s="1"/>
  <c r="V49" i="1"/>
  <c r="W49" i="1" s="1"/>
  <c r="V65" i="1"/>
  <c r="W65" i="1" s="1"/>
  <c r="Y65" i="1" s="1"/>
  <c r="V63" i="1"/>
  <c r="W63" i="1" s="1"/>
  <c r="Z63" i="1" s="1"/>
  <c r="V60" i="1"/>
  <c r="W60" i="1" s="1"/>
  <c r="Y60" i="1" s="1"/>
  <c r="V57" i="1"/>
  <c r="W57" i="1" s="1"/>
  <c r="V64" i="1"/>
  <c r="W64" i="1" s="1"/>
  <c r="V51" i="1"/>
  <c r="W51" i="1" s="1"/>
  <c r="X51" i="1" s="1"/>
  <c r="V50" i="1"/>
  <c r="W50" i="1" s="1"/>
  <c r="AB50" i="1" s="1"/>
  <c r="V67" i="1"/>
  <c r="W67" i="1" s="1"/>
  <c r="V59" i="1"/>
  <c r="W59" i="1" s="1"/>
  <c r="AC59" i="1" s="1"/>
  <c r="V56" i="1"/>
  <c r="W56" i="1" s="1"/>
  <c r="Z56" i="1" s="1"/>
  <c r="V62" i="1"/>
  <c r="W62" i="1" s="1"/>
  <c r="V61" i="1"/>
  <c r="W61" i="1" s="1"/>
  <c r="V52" i="1"/>
  <c r="W52" i="1" s="1"/>
  <c r="Z52" i="1" s="1"/>
  <c r="V66" i="1"/>
  <c r="W66" i="1" s="1"/>
  <c r="Z66" i="1" s="1"/>
  <c r="V55" i="1"/>
  <c r="W55" i="1" s="1"/>
  <c r="X55" i="1" s="1"/>
  <c r="AA55" i="1" s="1"/>
  <c r="AA60" i="1"/>
  <c r="X60" i="1"/>
  <c r="AC60" i="1"/>
  <c r="Z60" i="1"/>
  <c r="Z54" i="1"/>
  <c r="Y54" i="1"/>
  <c r="X54" i="1"/>
  <c r="AA54" i="1" s="1"/>
  <c r="AB54" i="1"/>
  <c r="AC54" i="1"/>
  <c r="X65" i="1"/>
  <c r="AA65" i="1"/>
  <c r="Z65" i="1"/>
  <c r="AB65" i="1"/>
  <c r="AC65" i="1"/>
  <c r="Z58" i="1"/>
  <c r="Y58" i="1"/>
  <c r="AA58" i="1"/>
  <c r="X58" i="1"/>
  <c r="AB58" i="1"/>
  <c r="AC58" i="1"/>
  <c r="AA50" i="1"/>
  <c r="Z67" i="1"/>
  <c r="Y67" i="1"/>
  <c r="X67" i="1"/>
  <c r="AA67" i="1"/>
  <c r="AC67" i="1"/>
  <c r="AB67" i="1"/>
  <c r="X59" i="1"/>
  <c r="AA59" i="1" s="1"/>
  <c r="X57" i="1"/>
  <c r="AA57" i="1" s="1"/>
  <c r="Z57" i="1"/>
  <c r="AC57" i="1"/>
  <c r="Y57" i="1"/>
  <c r="AB57" i="1"/>
  <c r="Z62" i="1"/>
  <c r="Y62" i="1"/>
  <c r="AC62" i="1"/>
  <c r="X62" i="1"/>
  <c r="AA62" i="1" s="1"/>
  <c r="AB62" i="1"/>
  <c r="X61" i="1"/>
  <c r="AA61" i="1" s="1"/>
  <c r="Z61" i="1"/>
  <c r="Y61" i="1"/>
  <c r="AC61" i="1"/>
  <c r="AB61" i="1"/>
  <c r="X52" i="1"/>
  <c r="AA56" i="1"/>
  <c r="U50" i="1"/>
  <c r="U53" i="1"/>
  <c r="U55" i="1"/>
  <c r="U57" i="1"/>
  <c r="U59" i="1"/>
  <c r="U60" i="1"/>
  <c r="U62" i="1"/>
  <c r="U64" i="1"/>
  <c r="U48" i="1"/>
  <c r="U51" i="1"/>
  <c r="U49" i="1"/>
  <c r="U54" i="1"/>
  <c r="U56" i="1"/>
  <c r="U66" i="1"/>
  <c r="U68" i="1"/>
  <c r="U52" i="1"/>
  <c r="U63" i="1"/>
  <c r="U65" i="1"/>
  <c r="U61" i="1"/>
  <c r="U67" i="1"/>
  <c r="U58" i="1"/>
  <c r="Y64" i="1"/>
  <c r="AA64" i="1"/>
  <c r="X64" i="1"/>
  <c r="Z64" i="1"/>
  <c r="AB64" i="1"/>
  <c r="AC64" i="1"/>
  <c r="X53" i="1"/>
  <c r="AA53" i="1" s="1"/>
  <c r="Z53" i="1"/>
  <c r="AC53" i="1"/>
  <c r="Y53" i="1"/>
  <c r="AB53" i="1"/>
  <c r="Z49" i="1"/>
  <c r="AA49" i="1"/>
  <c r="Y49" i="1"/>
  <c r="X49" i="1"/>
  <c r="AB49" i="1"/>
  <c r="AC49" i="1"/>
  <c r="Y55" i="1"/>
  <c r="Y50" i="1" l="1"/>
  <c r="AB68" i="1"/>
  <c r="Z50" i="1"/>
  <c r="Z68" i="1"/>
  <c r="Z55" i="1"/>
  <c r="X50" i="1"/>
  <c r="AC68" i="1"/>
  <c r="AC50" i="1"/>
  <c r="R50" i="1" s="1"/>
  <c r="S50" i="1" s="1"/>
  <c r="X68" i="1"/>
  <c r="AB55" i="1"/>
  <c r="AA68" i="1"/>
  <c r="AC55" i="1"/>
  <c r="X56" i="1"/>
  <c r="AB63" i="1"/>
  <c r="Y56" i="1"/>
  <c r="AC63" i="1"/>
  <c r="X63" i="1"/>
  <c r="AA63" i="1" s="1"/>
  <c r="R63" i="1" s="1"/>
  <c r="Q63" i="1" s="1"/>
  <c r="Y63" i="1"/>
  <c r="AB56" i="1"/>
  <c r="AC56" i="1"/>
  <c r="AB60" i="1"/>
  <c r="Z51" i="1"/>
  <c r="AC66" i="1"/>
  <c r="AB66" i="1"/>
  <c r="X66" i="1"/>
  <c r="AA66" i="1" s="1"/>
  <c r="R66" i="1" s="1"/>
  <c r="AC51" i="1"/>
  <c r="Y51" i="1"/>
  <c r="Y66" i="1"/>
  <c r="AA51" i="1"/>
  <c r="AB51" i="1"/>
  <c r="AC52" i="1"/>
  <c r="AA52" i="1"/>
  <c r="Y59" i="1"/>
  <c r="AB52" i="1"/>
  <c r="R52" i="1" s="1"/>
  <c r="Y52" i="1"/>
  <c r="AB59" i="1"/>
  <c r="R59" i="1" s="1"/>
  <c r="N59" i="1" s="1"/>
  <c r="Z59" i="1"/>
  <c r="R53" i="1"/>
  <c r="N53" i="1" s="1"/>
  <c r="R64" i="1"/>
  <c r="O64" i="1" s="1"/>
  <c r="R61" i="1"/>
  <c r="P61" i="1" s="1"/>
  <c r="R55" i="1"/>
  <c r="Q55" i="1" s="1"/>
  <c r="R49" i="1"/>
  <c r="P49" i="1" s="1"/>
  <c r="R62" i="1"/>
  <c r="N62" i="1" s="1"/>
  <c r="R57" i="1"/>
  <c r="O57" i="1" s="1"/>
  <c r="R67" i="1"/>
  <c r="Q67" i="1" s="1"/>
  <c r="R54" i="1"/>
  <c r="S54" i="1" s="1"/>
  <c r="S53" i="1"/>
  <c r="O53" i="1"/>
  <c r="Q53" i="1"/>
  <c r="P53" i="1"/>
  <c r="O54" i="1"/>
  <c r="R65" i="1"/>
  <c r="N49" i="1"/>
  <c r="R58" i="1"/>
  <c r="R68" i="1"/>
  <c r="R60" i="1"/>
  <c r="P64" i="1"/>
  <c r="R56" i="1" l="1"/>
  <c r="S56" i="1" s="1"/>
  <c r="P62" i="1"/>
  <c r="Q54" i="1"/>
  <c r="S61" i="1"/>
  <c r="O62" i="1"/>
  <c r="O67" i="1"/>
  <c r="O49" i="1"/>
  <c r="S49" i="1"/>
  <c r="R51" i="1"/>
  <c r="N51" i="1" s="1"/>
  <c r="O66" i="1"/>
  <c r="S66" i="1"/>
  <c r="N66" i="1"/>
  <c r="Q56" i="1"/>
  <c r="P54" i="1"/>
  <c r="N64" i="1"/>
  <c r="Q49" i="1"/>
  <c r="N54" i="1"/>
  <c r="P66" i="1"/>
  <c r="Q66" i="1"/>
  <c r="P67" i="1"/>
  <c r="P56" i="1"/>
  <c r="S67" i="1"/>
  <c r="N61" i="1"/>
  <c r="Q61" i="1"/>
  <c r="P57" i="1"/>
  <c r="Q59" i="1"/>
  <c r="S59" i="1"/>
  <c r="S62" i="1"/>
  <c r="N67" i="1"/>
  <c r="N56" i="1"/>
  <c r="O61" i="1"/>
  <c r="O56" i="1"/>
  <c r="P59" i="1"/>
  <c r="N57" i="1"/>
  <c r="Q57" i="1"/>
  <c r="O50" i="1"/>
  <c r="Q64" i="1"/>
  <c r="S64" i="1"/>
  <c r="P50" i="1"/>
  <c r="S57" i="1"/>
  <c r="O59" i="1"/>
  <c r="S63" i="1"/>
  <c r="Q50" i="1"/>
  <c r="P55" i="1"/>
  <c r="Q62" i="1"/>
  <c r="P63" i="1"/>
  <c r="N50" i="1"/>
  <c r="N63" i="1"/>
  <c r="N55" i="1"/>
  <c r="O63" i="1"/>
  <c r="O55" i="1"/>
  <c r="S55" i="1"/>
  <c r="Q51" i="1"/>
  <c r="O51" i="1"/>
  <c r="P51" i="1"/>
  <c r="S52" i="1"/>
  <c r="N52" i="1"/>
  <c r="P52" i="1"/>
  <c r="Q52" i="1"/>
  <c r="O52" i="1"/>
  <c r="T49" i="1"/>
  <c r="AD49" i="1" s="1"/>
  <c r="P65" i="1"/>
  <c r="S65" i="1"/>
  <c r="O65" i="1"/>
  <c r="N65" i="1"/>
  <c r="Q65" i="1"/>
  <c r="N60" i="1"/>
  <c r="S60" i="1"/>
  <c r="O60" i="1"/>
  <c r="P60" i="1"/>
  <c r="Q60" i="1"/>
  <c r="S68" i="1"/>
  <c r="Q68" i="1"/>
  <c r="N68" i="1"/>
  <c r="O68" i="1"/>
  <c r="P68" i="1"/>
  <c r="S58" i="1"/>
  <c r="N58" i="1"/>
  <c r="P58" i="1"/>
  <c r="Q58" i="1"/>
  <c r="O58" i="1"/>
  <c r="S51" i="1" l="1"/>
  <c r="R72" i="1"/>
  <c r="R78" i="1"/>
  <c r="T50" i="1"/>
  <c r="AD50" i="1" s="1"/>
  <c r="R73" i="1"/>
  <c r="R75" i="1" s="1"/>
  <c r="T51" i="1" l="1"/>
  <c r="AD51" i="1" s="1"/>
  <c r="R76" i="1"/>
  <c r="T52" i="1" l="1"/>
  <c r="AD52" i="1" s="1"/>
  <c r="T53" i="1" l="1"/>
  <c r="AD53" i="1" s="1"/>
  <c r="T54" i="1" l="1"/>
  <c r="AD54" i="1" s="1"/>
  <c r="T55" i="1" l="1"/>
  <c r="AD55" i="1" s="1"/>
  <c r="T56" i="1" l="1"/>
  <c r="AD56" i="1" s="1"/>
  <c r="T57" i="1" l="1"/>
  <c r="AD57" i="1" s="1"/>
  <c r="T58" i="1" l="1"/>
  <c r="AD58" i="1" s="1"/>
  <c r="T59" i="1" l="1"/>
  <c r="AD59" i="1" s="1"/>
  <c r="T60" i="1" l="1"/>
  <c r="AD60" i="1" s="1"/>
  <c r="T61" i="1" l="1"/>
  <c r="AD61" i="1" s="1"/>
  <c r="T62" i="1" l="1"/>
  <c r="AD62" i="1" s="1"/>
  <c r="T63" i="1" l="1"/>
  <c r="AD63" i="1" s="1"/>
  <c r="T64" i="1" l="1"/>
  <c r="AD64" i="1" s="1"/>
  <c r="T65" i="1" l="1"/>
  <c r="AD65" i="1" s="1"/>
  <c r="T66" i="1" l="1"/>
  <c r="AD66" i="1" s="1"/>
  <c r="T67" i="1" l="1"/>
  <c r="AD67" i="1" s="1"/>
  <c r="T68" i="1" l="1"/>
  <c r="AD68" i="1" s="1"/>
  <c r="R77" i="1" l="1"/>
</calcChain>
</file>

<file path=xl/sharedStrings.xml><?xml version="1.0" encoding="utf-8"?>
<sst xmlns="http://schemas.openxmlformats.org/spreadsheetml/2006/main" count="236" uniqueCount="186">
  <si>
    <t>METRIC CONVR</t>
  </si>
  <si>
    <t>VSHMAX</t>
  </si>
  <si>
    <t>PHIMIN</t>
  </si>
  <si>
    <t>SWMAX</t>
  </si>
  <si>
    <t>PRMmin</t>
  </si>
  <si>
    <t>Used</t>
  </si>
  <si>
    <t>English</t>
  </si>
  <si>
    <t xml:space="preserve"> Metric</t>
  </si>
  <si>
    <t>frac</t>
  </si>
  <si>
    <t>md</t>
  </si>
  <si>
    <t/>
  </si>
  <si>
    <t>E. R. Crain, P.Eng.</t>
  </si>
  <si>
    <t xml:space="preserve">  to</t>
  </si>
  <si>
    <t>Depthcut</t>
  </si>
  <si>
    <t>Start line#</t>
  </si>
  <si>
    <t>UNITS</t>
  </si>
  <si>
    <t>M</t>
  </si>
  <si>
    <t xml:space="preserve"> (MorE)</t>
  </si>
  <si>
    <t>DON'T MESS WITH THESE NUMBERS</t>
  </si>
  <si>
    <t>Perf #</t>
  </si>
  <si>
    <t>Top Depth</t>
  </si>
  <si>
    <t>Bottom Depth</t>
  </si>
  <si>
    <t>Shots/meter</t>
  </si>
  <si>
    <t>Treats</t>
  </si>
  <si>
    <t>Acid Wash</t>
  </si>
  <si>
    <t>Cem Sqz</t>
  </si>
  <si>
    <t xml:space="preserve"> </t>
  </si>
  <si>
    <t>feet</t>
  </si>
  <si>
    <t>us/ft</t>
  </si>
  <si>
    <t>psi</t>
  </si>
  <si>
    <t>GAS ON/OFF</t>
  </si>
  <si>
    <t>MID DEPTH</t>
  </si>
  <si>
    <t>PHIavg</t>
  </si>
  <si>
    <t>PERMavg</t>
  </si>
  <si>
    <t>Net Pay</t>
  </si>
  <si>
    <t>Mcf/d</t>
  </si>
  <si>
    <t>meters</t>
  </si>
  <si>
    <t>gm/cc</t>
  </si>
  <si>
    <t>us/m</t>
  </si>
  <si>
    <t>0=Oil,1=Gas</t>
  </si>
  <si>
    <t>Fnter this data from the META/LOG "ESP" Spreadsheet</t>
  </si>
  <si>
    <t>inches</t>
  </si>
  <si>
    <t>KPa</t>
  </si>
  <si>
    <t>'F</t>
  </si>
  <si>
    <t>bbl/d</t>
  </si>
  <si>
    <t>m3/d</t>
  </si>
  <si>
    <t>Kg/m3</t>
  </si>
  <si>
    <t>md-ft</t>
  </si>
  <si>
    <t>mm</t>
  </si>
  <si>
    <t>mcf</t>
  </si>
  <si>
    <t>'C</t>
  </si>
  <si>
    <t>$/mcf</t>
  </si>
  <si>
    <t>Metric</t>
  </si>
  <si>
    <t>bbl/psi</t>
  </si>
  <si>
    <t>md-m</t>
  </si>
  <si>
    <t>MMcf</t>
  </si>
  <si>
    <t>bbl</t>
  </si>
  <si>
    <t>m3</t>
  </si>
  <si>
    <t xml:space="preserve"> Mcf/d</t>
  </si>
  <si>
    <t>$/bbl</t>
  </si>
  <si>
    <t>$/m3</t>
  </si>
  <si>
    <t>cu.ft.</t>
  </si>
  <si>
    <t>m3/KPa</t>
  </si>
  <si>
    <t xml:space="preserve">All Costs have a depth dependent default. Use real costs if known. Set cost multiplier  </t>
  </si>
  <si>
    <t xml:space="preserve">  Gas</t>
  </si>
  <si>
    <t>1000bbl</t>
  </si>
  <si>
    <t>at 2.5 for 2002-2003. Cost formulae are based on 1985 USA averages.</t>
  </si>
  <si>
    <t>10^6m3</t>
  </si>
  <si>
    <t xml:space="preserve"> bbl/d</t>
  </si>
  <si>
    <t xml:space="preserve">  Oil</t>
  </si>
  <si>
    <t>10^3m3</t>
  </si>
  <si>
    <t>________________________</t>
  </si>
  <si>
    <t>______________________</t>
  </si>
  <si>
    <t>______________</t>
  </si>
  <si>
    <t>META/CASH RAW DATA and DECLINE ANALYSIS</t>
  </si>
  <si>
    <t>META/CASH FINAL RESULTS</t>
  </si>
  <si>
    <t>*</t>
  </si>
  <si>
    <t>INTERMEDIATE RESULTS</t>
  </si>
  <si>
    <t>11-36-72-8W6</t>
  </si>
  <si>
    <t>SUMMARY OF COMPUTED RESULTS</t>
  </si>
  <si>
    <t xml:space="preserve">  End</t>
  </si>
  <si>
    <t xml:space="preserve">  Prod-</t>
  </si>
  <si>
    <t xml:space="preserve"> Income</t>
  </si>
  <si>
    <t xml:space="preserve">     Costs</t>
  </si>
  <si>
    <t xml:space="preserve">   Net</t>
  </si>
  <si>
    <t xml:space="preserve">   Discounted</t>
  </si>
  <si>
    <t>Prod</t>
  </si>
  <si>
    <t>Econ</t>
  </si>
  <si>
    <t>ROYALTIES</t>
  </si>
  <si>
    <t xml:space="preserve">   COSTS</t>
  </si>
  <si>
    <t>Compute with-----------------v</t>
  </si>
  <si>
    <t xml:space="preserve"> Initl Deliverability  Recoverable Reserves</t>
  </si>
  <si>
    <t xml:space="preserve">   Year</t>
  </si>
  <si>
    <t xml:space="preserve">   Of</t>
  </si>
  <si>
    <t xml:space="preserve">  uction</t>
  </si>
  <si>
    <t xml:space="preserve">  After</t>
  </si>
  <si>
    <t xml:space="preserve"> Fixed</t>
  </si>
  <si>
    <t>Lifting</t>
  </si>
  <si>
    <t xml:space="preserve"> Annual</t>
  </si>
  <si>
    <t xml:space="preserve">   Cum'l</t>
  </si>
  <si>
    <t>Limit</t>
  </si>
  <si>
    <t xml:space="preserve">  ALTA</t>
  </si>
  <si>
    <t xml:space="preserve">  SASK</t>
  </si>
  <si>
    <t xml:space="preserve">  BC</t>
  </si>
  <si>
    <t>Gross</t>
  </si>
  <si>
    <t>Fixed</t>
  </si>
  <si>
    <t>Lift</t>
  </si>
  <si>
    <t>Log Analysis</t>
  </si>
  <si>
    <t xml:space="preserve">     #</t>
  </si>
  <si>
    <t xml:space="preserve">  Year</t>
  </si>
  <si>
    <t>Royalty</t>
  </si>
  <si>
    <t>Test</t>
  </si>
  <si>
    <t>Payout</t>
  </si>
  <si>
    <t>Core Analysis</t>
  </si>
  <si>
    <t xml:space="preserve">  *1000</t>
  </si>
  <si>
    <t xml:space="preserve">  --------------- $ x 1000 ---------------</t>
  </si>
  <si>
    <t>DST Analysis (Horner)</t>
  </si>
  <si>
    <t>Max Rate Limit (Alta)</t>
  </si>
  <si>
    <t>Actual Prod - Year 1</t>
  </si>
  <si>
    <t>User Defined</t>
  </si>
  <si>
    <t>COST MULTIPLIER</t>
  </si>
  <si>
    <t># OF WELLS/POOL</t>
  </si>
  <si>
    <t>INITIAL DELIVERABILITY</t>
  </si>
  <si>
    <t>RECOVERABLE RESERVES</t>
  </si>
  <si>
    <t xml:space="preserve"> ECONOMIC LIFE</t>
  </si>
  <si>
    <t>years</t>
  </si>
  <si>
    <t>INITIAL FLOW RATE</t>
  </si>
  <si>
    <t>CONSTANT RATE RESERVES</t>
  </si>
  <si>
    <t xml:space="preserve"> CONSTANT LIFE</t>
  </si>
  <si>
    <t>ECONOMIC LIMIT</t>
  </si>
  <si>
    <t>DECLINE RATE RESERVES</t>
  </si>
  <si>
    <t xml:space="preserve">  DECLINE LIFE</t>
  </si>
  <si>
    <t>INSTANTANEOUS DECLINE RATE</t>
  </si>
  <si>
    <t>ANNUAL DECLINE RATE</t>
  </si>
  <si>
    <t xml:space="preserve">  MONTHLY RATE</t>
  </si>
  <si>
    <t>ANNUAL PRICE ESCALATION</t>
  </si>
  <si>
    <t>ANNUAL EXPENSE ESCALATION</t>
  </si>
  <si>
    <t xml:space="preserve"> DISCOUNT RATE</t>
  </si>
  <si>
    <t>CASH FLOW RESULTS:</t>
  </si>
  <si>
    <t>LIFTING COST</t>
  </si>
  <si>
    <t>OPERATING COST</t>
  </si>
  <si>
    <t xml:space="preserve"> DRILL, COMPL &amp; TIEIN</t>
  </si>
  <si>
    <t>$/month</t>
  </si>
  <si>
    <t>$x1000</t>
  </si>
  <si>
    <t>Total Production at Economic Limit</t>
  </si>
  <si>
    <t>Present Value of Production</t>
  </si>
  <si>
    <t xml:space="preserve">      $</t>
  </si>
  <si>
    <t>000</t>
  </si>
  <si>
    <t>OVERRIDE ROYALTY</t>
  </si>
  <si>
    <t xml:space="preserve">     WORKING INTEREST</t>
  </si>
  <si>
    <t>Capital Costs</t>
  </si>
  <si>
    <t>Net Present Value Of Well</t>
  </si>
  <si>
    <t>Net Present Value - Working Interest Share $</t>
  </si>
  <si>
    <t>PROD START DATE</t>
  </si>
  <si>
    <t xml:space="preserve"> PRODUCT PRICE</t>
  </si>
  <si>
    <t>Well Pays Out After</t>
  </si>
  <si>
    <t>Years</t>
  </si>
  <si>
    <t>Internal Rate Of Return</t>
  </si>
  <si>
    <t>IRR Seed</t>
  </si>
  <si>
    <t>fractional</t>
  </si>
  <si>
    <t>Discount Rate (Mid Year Discounting)</t>
  </si>
  <si>
    <t>Useful Conversions:</t>
  </si>
  <si>
    <t>bbl * 0.159 = m3</t>
  </si>
  <si>
    <t xml:space="preserve">   mcf * 28.3 = m3</t>
  </si>
  <si>
    <t>CDN</t>
  </si>
  <si>
    <t>CDN EXCH RATE</t>
  </si>
  <si>
    <t xml:space="preserve">     2015-2020 Estimated Multipliers</t>
  </si>
  <si>
    <t xml:space="preserve">     Plains=4.5 Foothills=10 NWT=20 Arctic/Offshore=40</t>
  </si>
  <si>
    <t>ROYALTY RATE</t>
  </si>
  <si>
    <t xml:space="preserve">                   A Knowledge Based System For Formation Evaluation     </t>
  </si>
  <si>
    <t>c. E. R. Crain, P.Eng. 2018</t>
  </si>
  <si>
    <t>Read Terms of Use</t>
  </si>
  <si>
    <t>Well Name</t>
  </si>
  <si>
    <t>PCP Beaverlodge 11-36</t>
  </si>
  <si>
    <t>Analyst</t>
  </si>
  <si>
    <t>Field / Zone</t>
  </si>
  <si>
    <t>Beaverlodge / Halfway</t>
  </si>
  <si>
    <t>Date</t>
  </si>
  <si>
    <t xml:space="preserve"> 2018-09-27</t>
  </si>
  <si>
    <t xml:space="preserve">   ANALYSIS  PARAMETERS</t>
  </si>
  <si>
    <t xml:space="preserve">              PRODUCTION FORECAST and CASH FLOW CALCULATION</t>
  </si>
  <si>
    <t>www.spec2000.net/16-cash.htm</t>
  </si>
  <si>
    <t>REFERENCES:</t>
  </si>
  <si>
    <t>www.spec2000.net/16-eclife.htm</t>
  </si>
  <si>
    <t>META/LOG CONSTANTS</t>
  </si>
  <si>
    <t>META/LOG "CASH"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</si>
</sst>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0"/>
      <name val="COUR"/>
    </font>
    <font>
      <b/>
      <sz val="10"/>
      <name val="Arial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b/>
      <sz val="12"/>
      <color indexed="8"/>
      <name val="COUR"/>
    </font>
    <font>
      <sz val="10"/>
      <name val="COUR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COUR"/>
    </font>
    <font>
      <b/>
      <sz val="10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10"/>
      <color indexed="8"/>
      <name val="Arial"/>
    </font>
    <font>
      <sz val="10"/>
      <name val="COUR"/>
    </font>
    <font>
      <sz val="8"/>
      <name val="COUR"/>
    </font>
    <font>
      <u/>
      <sz val="10"/>
      <color theme="10"/>
      <name val="Arial"/>
    </font>
    <font>
      <b/>
      <sz val="10"/>
      <color indexed="8"/>
      <name val="Arial"/>
      <family val="2"/>
    </font>
    <font>
      <sz val="10"/>
      <color indexed="8"/>
      <name val="COUR"/>
    </font>
    <font>
      <b/>
      <sz val="24"/>
      <color indexed="10"/>
      <name val="Times New Roman"/>
      <family val="1"/>
    </font>
    <font>
      <b/>
      <sz val="24"/>
      <color indexed="13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12"/>
      </patternFill>
    </fill>
    <fill>
      <patternFill patternType="solid">
        <fgColor indexed="22"/>
        <bgColor indexed="12"/>
      </patternFill>
    </fill>
    <fill>
      <patternFill patternType="solid">
        <fgColor indexed="9"/>
        <bgColor indexed="12"/>
      </patternFill>
    </fill>
    <fill>
      <patternFill patternType="solid">
        <fgColor indexed="13"/>
        <bgColor indexed="12"/>
      </patternFill>
    </fill>
    <fill>
      <patternFill patternType="solid">
        <fgColor indexed="12"/>
        <bgColor indexed="64"/>
      </patternFill>
    </fill>
    <fill>
      <patternFill patternType="solid">
        <fgColor rgb="FF00FFFF"/>
        <bgColor indexed="1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 style="thick">
        <color indexed="15"/>
      </left>
      <right/>
      <top style="thin">
        <color indexed="15"/>
      </top>
      <bottom/>
      <diagonal/>
    </border>
    <border>
      <left style="thick">
        <color indexed="8"/>
      </left>
      <right/>
      <top style="thin">
        <color indexed="15"/>
      </top>
      <bottom/>
      <diagonal/>
    </border>
    <border>
      <left style="thin">
        <color indexed="15"/>
      </left>
      <right/>
      <top style="thick">
        <color indexed="8"/>
      </top>
      <bottom/>
      <diagonal/>
    </border>
    <border>
      <left style="thin">
        <color indexed="15"/>
      </left>
      <right/>
      <top style="thin">
        <color indexed="15"/>
      </top>
      <bottom/>
      <diagonal/>
    </border>
    <border>
      <left style="thick">
        <color indexed="15"/>
      </left>
      <right/>
      <top style="thick">
        <color indexed="15"/>
      </top>
      <bottom/>
      <diagonal/>
    </border>
    <border>
      <left style="thin">
        <color indexed="15"/>
      </left>
      <right/>
      <top style="thick">
        <color indexed="15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 style="thin">
        <color indexed="10"/>
      </top>
      <bottom/>
      <diagonal/>
    </border>
    <border>
      <left style="thick">
        <color auto="1"/>
      </left>
      <right/>
      <top style="thin">
        <color indexed="15"/>
      </top>
      <bottom/>
      <diagonal/>
    </border>
    <border>
      <left style="thick">
        <color auto="1"/>
      </left>
      <right/>
      <top style="thick">
        <color indexed="15"/>
      </top>
      <bottom/>
      <diagonal/>
    </border>
    <border>
      <left style="thick">
        <color auto="1"/>
      </left>
      <right/>
      <top style="thin">
        <color indexed="15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theme="1"/>
      </top>
      <bottom/>
      <diagonal/>
    </border>
    <border>
      <left style="thick">
        <color auto="1"/>
      </left>
      <right/>
      <top style="thick">
        <color theme="1"/>
      </top>
      <bottom style="thick">
        <color indexed="8"/>
      </bottom>
      <diagonal/>
    </border>
    <border>
      <left style="thick">
        <color auto="1"/>
      </left>
      <right/>
      <top style="thick">
        <color theme="1"/>
      </top>
      <bottom style="thick">
        <color theme="1"/>
      </bottom>
      <diagonal/>
    </border>
  </borders>
  <cellStyleXfs count="2">
    <xf numFmtId="2" fontId="0" fillId="0" borderId="0"/>
    <xf numFmtId="0" fontId="33" fillId="0" borderId="0" applyNumberFormat="0" applyFill="0" applyBorder="0" applyAlignment="0" applyProtection="0"/>
  </cellStyleXfs>
  <cellXfs count="131">
    <xf numFmtId="2" fontId="31" fillId="0" borderId="0" xfId="0" applyFont="1" applyAlignment="1"/>
    <xf numFmtId="2" fontId="4" fillId="4" borderId="3" xfId="0" applyFont="1" applyFill="1" applyBorder="1" applyAlignment="1">
      <alignment horizontal="right"/>
    </xf>
    <xf numFmtId="2" fontId="5" fillId="4" borderId="3" xfId="0" applyFont="1" applyFill="1" applyBorder="1" applyAlignment="1"/>
    <xf numFmtId="2" fontId="5" fillId="4" borderId="0" xfId="0" applyNumberFormat="1" applyFont="1" applyFill="1" applyAlignment="1"/>
    <xf numFmtId="2" fontId="6" fillId="0" borderId="1" xfId="0" applyNumberFormat="1" applyFont="1" applyBorder="1" applyAlignment="1"/>
    <xf numFmtId="2" fontId="6" fillId="0" borderId="3" xfId="0" applyNumberFormat="1" applyFont="1" applyBorder="1" applyAlignment="1"/>
    <xf numFmtId="2" fontId="6" fillId="0" borderId="0" xfId="0" applyNumberFormat="1" applyFont="1" applyAlignment="1"/>
    <xf numFmtId="2" fontId="8" fillId="3" borderId="0" xfId="0" applyFont="1" applyFill="1" applyAlignment="1"/>
    <xf numFmtId="2" fontId="10" fillId="3" borderId="0" xfId="0" applyFont="1" applyFill="1" applyAlignment="1">
      <alignment horizontal="right"/>
    </xf>
    <xf numFmtId="2" fontId="11" fillId="3" borderId="0" xfId="0" applyFont="1" applyFill="1" applyAlignment="1"/>
    <xf numFmtId="2" fontId="12" fillId="4" borderId="3" xfId="0" applyFont="1" applyFill="1" applyBorder="1" applyAlignment="1">
      <alignment horizontal="right"/>
    </xf>
    <xf numFmtId="2" fontId="13" fillId="4" borderId="0" xfId="0" applyFont="1" applyFill="1" applyAlignment="1"/>
    <xf numFmtId="2" fontId="13" fillId="4" borderId="0" xfId="0" applyNumberFormat="1" applyFont="1" applyFill="1" applyAlignment="1"/>
    <xf numFmtId="1" fontId="14" fillId="5" borderId="1" xfId="0" applyNumberFormat="1" applyFont="1" applyFill="1" applyBorder="1" applyAlignment="1"/>
    <xf numFmtId="2" fontId="14" fillId="5" borderId="1" xfId="0" applyFont="1" applyFill="1" applyBorder="1" applyAlignment="1"/>
    <xf numFmtId="2" fontId="14" fillId="5" borderId="3" xfId="0" applyFont="1" applyFill="1" applyBorder="1" applyAlignment="1"/>
    <xf numFmtId="2" fontId="14" fillId="5" borderId="2" xfId="0" applyFont="1" applyFill="1" applyBorder="1" applyAlignment="1"/>
    <xf numFmtId="2" fontId="14" fillId="5" borderId="0" xfId="0" applyFont="1" applyFill="1" applyAlignment="1"/>
    <xf numFmtId="2" fontId="15" fillId="4" borderId="1" xfId="0" applyFont="1" applyFill="1" applyBorder="1" applyAlignment="1"/>
    <xf numFmtId="2" fontId="15" fillId="4" borderId="3" xfId="0" applyFont="1" applyFill="1" applyBorder="1" applyAlignment="1"/>
    <xf numFmtId="2" fontId="15" fillId="4" borderId="4" xfId="0" applyFont="1" applyFill="1" applyBorder="1" applyAlignment="1"/>
    <xf numFmtId="2" fontId="15" fillId="4" borderId="0" xfId="0" applyNumberFormat="1" applyFont="1" applyFill="1" applyAlignment="1" applyProtection="1">
      <protection locked="0"/>
    </xf>
    <xf numFmtId="2" fontId="15" fillId="4" borderId="0" xfId="0" applyFont="1" applyFill="1" applyAlignment="1"/>
    <xf numFmtId="2" fontId="16" fillId="5" borderId="3" xfId="0" applyFont="1" applyFill="1" applyBorder="1" applyAlignment="1">
      <alignment horizontal="right"/>
    </xf>
    <xf numFmtId="2" fontId="16" fillId="5" borderId="0" xfId="0" applyFont="1" applyFill="1" applyAlignment="1">
      <alignment horizontal="right"/>
    </xf>
    <xf numFmtId="2" fontId="17" fillId="5" borderId="1" xfId="0" applyFont="1" applyFill="1" applyBorder="1" applyAlignment="1"/>
    <xf numFmtId="2" fontId="17" fillId="5" borderId="3" xfId="0" applyFont="1" applyFill="1" applyBorder="1" applyAlignment="1"/>
    <xf numFmtId="2" fontId="17" fillId="5" borderId="0" xfId="0" applyNumberFormat="1" applyFont="1" applyFill="1" applyAlignment="1" applyProtection="1">
      <protection locked="0"/>
    </xf>
    <xf numFmtId="1" fontId="17" fillId="5" borderId="0" xfId="0" applyNumberFormat="1" applyFont="1" applyFill="1" applyAlignment="1"/>
    <xf numFmtId="164" fontId="17" fillId="5" borderId="0" xfId="0" applyNumberFormat="1" applyFont="1" applyFill="1" applyAlignment="1"/>
    <xf numFmtId="2" fontId="17" fillId="5" borderId="0" xfId="0" applyFont="1" applyFill="1" applyAlignment="1"/>
    <xf numFmtId="2" fontId="18" fillId="6" borderId="2" xfId="0" applyFont="1" applyFill="1" applyBorder="1" applyAlignment="1"/>
    <xf numFmtId="2" fontId="19" fillId="6" borderId="2" xfId="0" applyFont="1" applyFill="1" applyBorder="1" applyAlignment="1"/>
    <xf numFmtId="2" fontId="20" fillId="5" borderId="1" xfId="0" applyFont="1" applyFill="1" applyBorder="1" applyAlignment="1">
      <alignment horizontal="centerContinuous"/>
    </xf>
    <xf numFmtId="2" fontId="21" fillId="4" borderId="5" xfId="0" applyFont="1" applyFill="1" applyBorder="1" applyAlignment="1">
      <alignment horizontal="right"/>
    </xf>
    <xf numFmtId="2" fontId="21" fillId="4" borderId="3" xfId="0" applyFont="1" applyFill="1" applyBorder="1" applyAlignment="1">
      <alignment horizontal="right"/>
    </xf>
    <xf numFmtId="2" fontId="21" fillId="4" borderId="0" xfId="0" applyFont="1" applyFill="1" applyAlignment="1">
      <alignment horizontal="right"/>
    </xf>
    <xf numFmtId="2" fontId="22" fillId="3" borderId="5" xfId="0" applyFont="1" applyFill="1" applyBorder="1" applyAlignment="1">
      <alignment horizontal="left"/>
    </xf>
    <xf numFmtId="2" fontId="22" fillId="3" borderId="0" xfId="0" applyFont="1" applyFill="1" applyAlignment="1">
      <alignment horizontal="left"/>
    </xf>
    <xf numFmtId="2" fontId="23" fillId="3" borderId="5" xfId="0" applyFont="1" applyFill="1" applyBorder="1" applyAlignment="1">
      <alignment horizontal="right"/>
    </xf>
    <xf numFmtId="2" fontId="23" fillId="3" borderId="0" xfId="0" applyFont="1" applyFill="1" applyAlignment="1">
      <alignment horizontal="right"/>
    </xf>
    <xf numFmtId="2" fontId="24" fillId="4" borderId="5" xfId="0" applyFont="1" applyFill="1" applyBorder="1" applyAlignment="1">
      <alignment horizontal="left"/>
    </xf>
    <xf numFmtId="2" fontId="26" fillId="7" borderId="6" xfId="0" applyFont="1" applyFill="1" applyBorder="1" applyAlignment="1"/>
    <xf numFmtId="2" fontId="26" fillId="7" borderId="2" xfId="0" applyFont="1" applyFill="1" applyBorder="1" applyAlignment="1"/>
    <xf numFmtId="2" fontId="26" fillId="7" borderId="7" xfId="0" applyFont="1" applyFill="1" applyBorder="1" applyAlignment="1"/>
    <xf numFmtId="2" fontId="26" fillId="7" borderId="8" xfId="0" applyFont="1" applyFill="1" applyBorder="1" applyAlignment="1"/>
    <xf numFmtId="2" fontId="26" fillId="7" borderId="9" xfId="0" applyFont="1" applyFill="1" applyBorder="1" applyAlignment="1"/>
    <xf numFmtId="2" fontId="26" fillId="7" borderId="10" xfId="0" applyFont="1" applyFill="1" applyBorder="1" applyAlignment="1"/>
    <xf numFmtId="2" fontId="26" fillId="7" borderId="11" xfId="0" applyFont="1" applyFill="1" applyBorder="1" applyAlignment="1"/>
    <xf numFmtId="2" fontId="27" fillId="8" borderId="8" xfId="0" applyFont="1" applyFill="1" applyBorder="1" applyAlignment="1"/>
    <xf numFmtId="2" fontId="27" fillId="8" borderId="9" xfId="0" applyFont="1" applyFill="1" applyBorder="1" applyAlignment="1"/>
    <xf numFmtId="2" fontId="27" fillId="8" borderId="2" xfId="0" applyFont="1" applyFill="1" applyBorder="1" applyAlignment="1"/>
    <xf numFmtId="2" fontId="27" fillId="8" borderId="7" xfId="0" applyFont="1" applyFill="1" applyBorder="1" applyAlignment="1"/>
    <xf numFmtId="2" fontId="28" fillId="9" borderId="2" xfId="0" applyFont="1" applyFill="1" applyBorder="1" applyAlignment="1"/>
    <xf numFmtId="2" fontId="29" fillId="8" borderId="8" xfId="0" applyFont="1" applyFill="1" applyBorder="1" applyAlignment="1"/>
    <xf numFmtId="2" fontId="29" fillId="8" borderId="2" xfId="0" applyFont="1" applyFill="1" applyBorder="1" applyAlignment="1"/>
    <xf numFmtId="2" fontId="30" fillId="10" borderId="7" xfId="0" applyFont="1" applyFill="1" applyBorder="1" applyAlignment="1"/>
    <xf numFmtId="2" fontId="30" fillId="10" borderId="2" xfId="0" applyFont="1" applyFill="1" applyBorder="1" applyAlignment="1"/>
    <xf numFmtId="2" fontId="30" fillId="10" borderId="9" xfId="0" applyFont="1" applyFill="1" applyBorder="1" applyAlignment="1"/>
    <xf numFmtId="2" fontId="30" fillId="10" borderId="8" xfId="0" applyFont="1" applyFill="1" applyBorder="1" applyAlignment="1"/>
    <xf numFmtId="2" fontId="18" fillId="6" borderId="12" xfId="0" applyFont="1" applyFill="1" applyBorder="1" applyAlignment="1"/>
    <xf numFmtId="2" fontId="26" fillId="7" borderId="7" xfId="0" applyFont="1" applyFill="1" applyBorder="1" applyAlignment="1" applyProtection="1"/>
    <xf numFmtId="1" fontId="26" fillId="7" borderId="8" xfId="0" applyNumberFormat="1" applyFont="1" applyFill="1" applyBorder="1" applyAlignment="1"/>
    <xf numFmtId="1" fontId="26" fillId="7" borderId="9" xfId="0" applyNumberFormat="1" applyFont="1" applyFill="1" applyBorder="1" applyAlignment="1"/>
    <xf numFmtId="1" fontId="26" fillId="7" borderId="7" xfId="0" applyNumberFormat="1" applyFont="1" applyFill="1" applyBorder="1" applyAlignment="1"/>
    <xf numFmtId="1" fontId="28" fillId="9" borderId="2" xfId="0" applyNumberFormat="1" applyFont="1" applyFill="1" applyBorder="1" applyAlignment="1"/>
    <xf numFmtId="1" fontId="26" fillId="7" borderId="6" xfId="0" applyNumberFormat="1" applyFont="1" applyFill="1" applyBorder="1" applyAlignment="1"/>
    <xf numFmtId="1" fontId="26" fillId="7" borderId="10" xfId="0" applyNumberFormat="1" applyFont="1" applyFill="1" applyBorder="1" applyAlignment="1"/>
    <xf numFmtId="1" fontId="26" fillId="7" borderId="11" xfId="0" applyNumberFormat="1" applyFont="1" applyFill="1" applyBorder="1" applyAlignment="1"/>
    <xf numFmtId="1" fontId="26" fillId="7" borderId="2" xfId="0" applyNumberFormat="1" applyFont="1" applyFill="1" applyBorder="1" applyAlignment="1"/>
    <xf numFmtId="2" fontId="28" fillId="9" borderId="2" xfId="0" applyNumberFormat="1" applyFont="1" applyFill="1" applyBorder="1" applyAlignment="1"/>
    <xf numFmtId="1" fontId="6" fillId="0" borderId="3" xfId="0" applyNumberFormat="1" applyFont="1" applyBorder="1" applyAlignment="1"/>
    <xf numFmtId="1" fontId="31" fillId="0" borderId="0" xfId="0" applyNumberFormat="1" applyFont="1" applyAlignment="1"/>
    <xf numFmtId="1" fontId="10" fillId="7" borderId="7" xfId="0" applyNumberFormat="1" applyFont="1" applyFill="1" applyBorder="1" applyAlignment="1"/>
    <xf numFmtId="2" fontId="10" fillId="7" borderId="7" xfId="0" applyFont="1" applyFill="1" applyBorder="1" applyAlignment="1"/>
    <xf numFmtId="164" fontId="26" fillId="7" borderId="9" xfId="0" applyNumberFormat="1" applyFont="1" applyFill="1" applyBorder="1" applyAlignment="1"/>
    <xf numFmtId="2" fontId="7" fillId="11" borderId="0" xfId="0" applyNumberFormat="1" applyFont="1" applyFill="1" applyAlignment="1"/>
    <xf numFmtId="2" fontId="9" fillId="11" borderId="0" xfId="0" applyNumberFormat="1" applyFont="1" applyFill="1" applyAlignment="1"/>
    <xf numFmtId="2" fontId="3" fillId="5" borderId="1" xfId="0" applyNumberFormat="1" applyFont="1" applyFill="1" applyBorder="1" applyAlignment="1"/>
    <xf numFmtId="0" fontId="1" fillId="0" borderId="1" xfId="0" applyNumberFormat="1" applyFont="1" applyBorder="1" applyAlignment="1"/>
    <xf numFmtId="0" fontId="33" fillId="0" borderId="1" xfId="1" applyNumberFormat="1" applyBorder="1" applyAlignment="1"/>
    <xf numFmtId="0" fontId="34" fillId="0" borderId="3" xfId="0" applyNumberFormat="1" applyFont="1" applyBorder="1" applyAlignment="1"/>
    <xf numFmtId="0" fontId="34" fillId="0" borderId="0" xfId="0" applyNumberFormat="1" applyFont="1" applyAlignment="1"/>
    <xf numFmtId="0" fontId="34" fillId="0" borderId="2" xfId="0" applyNumberFormat="1" applyFont="1" applyBorder="1" applyAlignment="1"/>
    <xf numFmtId="0" fontId="34" fillId="0" borderId="1" xfId="0" applyNumberFormat="1" applyFont="1" applyBorder="1" applyAlignment="1"/>
    <xf numFmtId="15" fontId="34" fillId="0" borderId="2" xfId="0" applyNumberFormat="1" applyFont="1" applyBorder="1" applyAlignment="1"/>
    <xf numFmtId="1" fontId="15" fillId="4" borderId="3" xfId="0" applyNumberFormat="1" applyFont="1" applyFill="1" applyBorder="1" applyAlignment="1"/>
    <xf numFmtId="2" fontId="7" fillId="11" borderId="16" xfId="0" applyNumberFormat="1" applyFont="1" applyFill="1" applyBorder="1" applyAlignment="1"/>
    <xf numFmtId="2" fontId="9" fillId="11" borderId="16" xfId="0" applyNumberFormat="1" applyFont="1" applyFill="1" applyBorder="1" applyAlignment="1"/>
    <xf numFmtId="0" fontId="1" fillId="0" borderId="16" xfId="0" applyNumberFormat="1" applyFont="1" applyBorder="1" applyAlignment="1"/>
    <xf numFmtId="0" fontId="34" fillId="0" borderId="16" xfId="0" applyNumberFormat="1" applyFont="1" applyBorder="1" applyAlignment="1"/>
    <xf numFmtId="2" fontId="15" fillId="4" borderId="16" xfId="0" applyFont="1" applyFill="1" applyBorder="1" applyAlignment="1"/>
    <xf numFmtId="2" fontId="3" fillId="5" borderId="15" xfId="0" applyFont="1" applyFill="1" applyBorder="1" applyAlignment="1"/>
    <xf numFmtId="2" fontId="18" fillId="6" borderId="15" xfId="0" applyFont="1" applyFill="1" applyBorder="1" applyAlignment="1"/>
    <xf numFmtId="2" fontId="15" fillId="4" borderId="15" xfId="0" applyFont="1" applyFill="1" applyBorder="1" applyAlignment="1"/>
    <xf numFmtId="2" fontId="18" fillId="6" borderId="17" xfId="0" applyFont="1" applyFill="1" applyBorder="1" applyAlignment="1"/>
    <xf numFmtId="2" fontId="21" fillId="4" borderId="16" xfId="0" applyFont="1" applyFill="1" applyBorder="1" applyAlignment="1">
      <alignment horizontal="right"/>
    </xf>
    <xf numFmtId="2" fontId="22" fillId="3" borderId="18" xfId="0" applyFont="1" applyFill="1" applyBorder="1" applyAlignment="1">
      <alignment horizontal="left"/>
    </xf>
    <xf numFmtId="2" fontId="22" fillId="3" borderId="16" xfId="0" applyFont="1" applyFill="1" applyBorder="1" applyAlignment="1">
      <alignment horizontal="left"/>
    </xf>
    <xf numFmtId="2" fontId="24" fillId="4" borderId="18" xfId="0" applyFont="1" applyFill="1" applyBorder="1" applyAlignment="1">
      <alignment horizontal="left"/>
    </xf>
    <xf numFmtId="2" fontId="24" fillId="4" borderId="16" xfId="0" applyFont="1" applyFill="1" applyBorder="1" applyAlignment="1">
      <alignment horizontal="left"/>
    </xf>
    <xf numFmtId="2" fontId="25" fillId="5" borderId="15" xfId="0" applyFont="1" applyFill="1" applyBorder="1" applyAlignment="1"/>
    <xf numFmtId="2" fontId="14" fillId="5" borderId="16" xfId="0" applyFont="1" applyFill="1" applyBorder="1" applyAlignment="1"/>
    <xf numFmtId="2" fontId="26" fillId="7" borderId="15" xfId="0" applyFont="1" applyFill="1" applyBorder="1" applyAlignment="1"/>
    <xf numFmtId="1" fontId="26" fillId="7" borderId="19" xfId="0" applyNumberFormat="1" applyFont="1" applyFill="1" applyBorder="1" applyAlignment="1"/>
    <xf numFmtId="1" fontId="26" fillId="7" borderId="20" xfId="0" applyNumberFormat="1" applyFont="1" applyFill="1" applyBorder="1" applyAlignment="1"/>
    <xf numFmtId="1" fontId="28" fillId="9" borderId="15" xfId="0" applyNumberFormat="1" applyFont="1" applyFill="1" applyBorder="1" applyAlignment="1"/>
    <xf numFmtId="1" fontId="26" fillId="7" borderId="15" xfId="0" applyNumberFormat="1" applyFont="1" applyFill="1" applyBorder="1" applyAlignment="1"/>
    <xf numFmtId="2" fontId="26" fillId="7" borderId="19" xfId="0" applyFont="1" applyFill="1" applyBorder="1" applyAlignment="1"/>
    <xf numFmtId="2" fontId="28" fillId="9" borderId="15" xfId="0" applyFont="1" applyFill="1" applyBorder="1" applyAlignment="1"/>
    <xf numFmtId="2" fontId="10" fillId="7" borderId="19" xfId="0" applyFont="1" applyFill="1" applyBorder="1" applyAlignment="1"/>
    <xf numFmtId="2" fontId="26" fillId="7" borderId="21" xfId="0" applyFont="1" applyFill="1" applyBorder="1" applyAlignment="1"/>
    <xf numFmtId="2" fontId="35" fillId="4" borderId="16" xfId="0" applyFont="1" applyFill="1" applyBorder="1" applyAlignment="1"/>
    <xf numFmtId="2" fontId="33" fillId="5" borderId="13" xfId="1" applyNumberFormat="1" applyFill="1" applyBorder="1" applyAlignment="1">
      <alignment horizontal="center"/>
    </xf>
    <xf numFmtId="2" fontId="33" fillId="5" borderId="14" xfId="1" applyNumberFormat="1" applyFill="1" applyBorder="1" applyAlignment="1">
      <alignment horizontal="center"/>
    </xf>
    <xf numFmtId="2" fontId="13" fillId="4" borderId="24" xfId="0" applyFont="1" applyFill="1" applyBorder="1" applyAlignment="1"/>
    <xf numFmtId="2" fontId="26" fillId="12" borderId="9" xfId="0" applyFont="1" applyFill="1" applyBorder="1" applyAlignment="1"/>
    <xf numFmtId="2" fontId="6" fillId="13" borderId="1" xfId="0" applyNumberFormat="1" applyFont="1" applyFill="1" applyBorder="1" applyAlignment="1"/>
    <xf numFmtId="2" fontId="6" fillId="13" borderId="0" xfId="0" applyNumberFormat="1" applyFont="1" applyFill="1" applyAlignment="1"/>
    <xf numFmtId="2" fontId="37" fillId="2" borderId="15" xfId="0" applyFont="1" applyFill="1" applyBorder="1" applyAlignment="1">
      <alignment horizontal="center"/>
    </xf>
    <xf numFmtId="2" fontId="2" fillId="2" borderId="1" xfId="0" applyFont="1" applyFill="1" applyBorder="1" applyAlignment="1">
      <alignment horizontal="center"/>
    </xf>
    <xf numFmtId="2" fontId="2" fillId="2" borderId="23" xfId="0" applyFont="1" applyFill="1" applyBorder="1" applyAlignment="1">
      <alignment horizontal="center"/>
    </xf>
    <xf numFmtId="2" fontId="36" fillId="3" borderId="3" xfId="0" applyFont="1" applyFill="1" applyBorder="1" applyAlignment="1">
      <alignment horizontal="center"/>
    </xf>
    <xf numFmtId="2" fontId="36" fillId="3" borderId="0" xfId="0" applyFont="1" applyFill="1" applyAlignment="1">
      <alignment horizontal="center"/>
    </xf>
    <xf numFmtId="2" fontId="36" fillId="3" borderId="22" xfId="0" applyFont="1" applyFill="1" applyBorder="1" applyAlignment="1">
      <alignment horizontal="center"/>
    </xf>
    <xf numFmtId="2" fontId="15" fillId="4" borderId="25" xfId="0" applyFont="1" applyFill="1" applyBorder="1" applyAlignment="1"/>
    <xf numFmtId="2" fontId="16" fillId="14" borderId="3" xfId="0" applyFont="1" applyFill="1" applyBorder="1" applyAlignment="1">
      <alignment horizontal="right"/>
    </xf>
    <xf numFmtId="2" fontId="16" fillId="5" borderId="2" xfId="0" applyFont="1" applyFill="1" applyBorder="1" applyAlignment="1">
      <alignment horizontal="right"/>
    </xf>
    <xf numFmtId="2" fontId="34" fillId="8" borderId="9" xfId="0" applyFont="1" applyFill="1" applyBorder="1" applyAlignment="1"/>
    <xf numFmtId="2" fontId="15" fillId="5" borderId="26" xfId="0" applyNumberFormat="1" applyFont="1" applyFill="1" applyBorder="1" applyAlignment="1">
      <alignment horizontal="left"/>
    </xf>
    <xf numFmtId="2" fontId="33" fillId="5" borderId="13" xfId="1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CASH</a:t>
            </a:r>
          </a:p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/>
              <a:t>Final Results - Production</a:t>
            </a:r>
          </a:p>
        </c:rich>
      </c:tx>
      <c:layout>
        <c:manualLayout>
          <c:xMode val="edge"/>
          <c:yMode val="edge"/>
          <c:x val="0.3899001754348716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1"/>
          <c:order val="0"/>
          <c:tx>
            <c:v/>
          </c:tx>
          <c:marker>
            <c:symbol val="none"/>
          </c:marker>
          <c:xVal>
            <c:numRef>
              <c:f>'4metacsh'!$L$49:$L$68</c:f>
              <c:numCache>
                <c:formatCode>0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'4metacsh'!$N$49:$N$68</c:f>
              <c:numCache>
                <c:formatCode>0.0</c:formatCode>
                <c:ptCount val="20"/>
                <c:pt idx="0">
                  <c:v>7.0762114275764398</c:v>
                </c:pt>
                <c:pt idx="1">
                  <c:v>6.2357121005932008</c:v>
                </c:pt>
                <c:pt idx="2">
                  <c:v>5.4950457316680312</c:v>
                </c:pt>
                <c:pt idx="3">
                  <c:v>4.8423543463866077</c:v>
                </c:pt>
                <c:pt idx="4">
                  <c:v>4.2671884386395211</c:v>
                </c:pt>
                <c:pt idx="5">
                  <c:v>3.7603396753577893</c:v>
                </c:pt>
                <c:pt idx="6">
                  <c:v>3.3136934722709679</c:v>
                </c:pt>
                <c:pt idx="7">
                  <c:v>2.9200990804444924</c:v>
                </c:pt>
                <c:pt idx="8">
                  <c:v>2.5732551036982279</c:v>
                </c:pt>
                <c:pt idx="9">
                  <c:v>2.267608614054645</c:v>
                </c:pt>
                <c:pt idx="10">
                  <c:v>1.9982662500677775</c:v>
                </c:pt>
                <c:pt idx="11">
                  <c:v>1.760915874728509</c:v>
                </c:pt>
                <c:pt idx="12">
                  <c:v>1.5517575386992075</c:v>
                </c:pt>
                <c:pt idx="13">
                  <c:v>1.3674426436078735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97888"/>
        <c:axId val="200398464"/>
      </c:scatterChart>
      <c:valAx>
        <c:axId val="200397888"/>
        <c:scaling>
          <c:orientation val="minMax"/>
          <c:max val="20"/>
          <c:min val="1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End of Year</a:t>
                </a:r>
              </a:p>
            </c:rich>
          </c:tx>
          <c:layout>
            <c:manualLayout>
              <c:xMode val="edge"/>
              <c:yMode val="edge"/>
              <c:x val="0.44514438442999466"/>
              <c:y val="0.9101618710300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98464"/>
        <c:crosses val="autoZero"/>
        <c:crossBetween val="midCat"/>
        <c:majorUnit val="2"/>
        <c:minorUnit val="1"/>
      </c:valAx>
      <c:valAx>
        <c:axId val="20039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baseline="0"/>
                  <a:t>Production - m3 x 1000</a:t>
                </a:r>
              </a:p>
            </c:rich>
          </c:tx>
          <c:layout>
            <c:manualLayout>
              <c:xMode val="edge"/>
              <c:yMode val="edge"/>
              <c:x val="7.8939520148840585E-3"/>
              <c:y val="0.32156153343285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978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CASH</a:t>
            </a:r>
          </a:p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/>
              <a:t>Final Results - Net Income</a:t>
            </a:r>
          </a:p>
        </c:rich>
      </c:tx>
      <c:layout>
        <c:manualLayout>
          <c:xMode val="edge"/>
          <c:yMode val="edge"/>
          <c:x val="0.3899001754348716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1"/>
          <c:order val="0"/>
          <c:tx>
            <c:v/>
          </c:tx>
          <c:marker>
            <c:symbol val="none"/>
          </c:marker>
          <c:xVal>
            <c:numRef>
              <c:f>'4metacsh'!$L$49:$L$68</c:f>
              <c:numCache>
                <c:formatCode>0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'4metacsh'!$R$49:$R$68</c:f>
              <c:numCache>
                <c:formatCode>0</c:formatCode>
                <c:ptCount val="20"/>
                <c:pt idx="0">
                  <c:v>961.59079779574768</c:v>
                </c:pt>
                <c:pt idx="1">
                  <c:v>852.8843373604559</c:v>
                </c:pt>
                <c:pt idx="2">
                  <c:v>752.12263030260101</c:v>
                </c:pt>
                <c:pt idx="3">
                  <c:v>658.59664033774084</c:v>
                </c:pt>
                <c:pt idx="4">
                  <c:v>571.65473980116917</c:v>
                </c:pt>
                <c:pt idx="5">
                  <c:v>490.69784168045385</c:v>
                </c:pt>
                <c:pt idx="6">
                  <c:v>415.17493535911808</c:v>
                </c:pt>
                <c:pt idx="7">
                  <c:v>344.57899223349148</c:v>
                </c:pt>
                <c:pt idx="8">
                  <c:v>278.44321018658661</c:v>
                </c:pt>
                <c:pt idx="9">
                  <c:v>216.33756848874646</c:v>
                </c:pt>
                <c:pt idx="10">
                  <c:v>157.8656670645737</c:v>
                </c:pt>
                <c:pt idx="11">
                  <c:v>102.66182623719601</c:v>
                </c:pt>
                <c:pt idx="12">
                  <c:v>50.388425050941919</c:v>
                </c:pt>
                <c:pt idx="13">
                  <c:v>0.73345809701788767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1440"/>
        <c:axId val="199062016"/>
      </c:scatterChart>
      <c:valAx>
        <c:axId val="199061440"/>
        <c:scaling>
          <c:orientation val="minMax"/>
          <c:max val="20"/>
          <c:min val="1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End of Year</a:t>
                </a:r>
              </a:p>
            </c:rich>
          </c:tx>
          <c:layout>
            <c:manualLayout>
              <c:xMode val="edge"/>
              <c:yMode val="edge"/>
              <c:x val="0.44357667906182585"/>
              <c:y val="0.91264018577603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62016"/>
        <c:crosses val="autoZero"/>
        <c:crossBetween val="midCat"/>
        <c:majorUnit val="2"/>
        <c:minorUnit val="1"/>
      </c:valAx>
      <c:valAx>
        <c:axId val="1990620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baseline="0"/>
                  <a:t>Net Income - x $1000</a:t>
                </a:r>
              </a:p>
            </c:rich>
          </c:tx>
          <c:layout>
            <c:manualLayout>
              <c:xMode val="edge"/>
              <c:yMode val="edge"/>
              <c:x val="7.8939520148840585E-3"/>
              <c:y val="0.32156153343285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61440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META/LOG CASH</a:t>
            </a:r>
          </a:p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/>
              <a:t>Final Results - Cumulative Income</a:t>
            </a:r>
          </a:p>
        </c:rich>
      </c:tx>
      <c:layout>
        <c:manualLayout>
          <c:xMode val="edge"/>
          <c:yMode val="edge"/>
          <c:x val="0.3899001754348716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1"/>
          <c:order val="0"/>
          <c:tx>
            <c:v/>
          </c:tx>
          <c:marker>
            <c:symbol val="none"/>
          </c:marker>
          <c:xVal>
            <c:numRef>
              <c:f>'4metacsh'!$L$48:$L$68</c:f>
              <c:numCache>
                <c:formatCode>0</c:formatCode>
                <c:ptCount val="2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'4metacsh'!$T$48:$T$68</c:f>
              <c:numCache>
                <c:formatCode>0</c:formatCode>
                <c:ptCount val="21"/>
                <c:pt idx="0">
                  <c:v>-2957.833435371369</c:v>
                </c:pt>
                <c:pt idx="1">
                  <c:v>-2061.1453928671949</c:v>
                </c:pt>
                <c:pt idx="2">
                  <c:v>-1369.5638750746043</c:v>
                </c:pt>
                <c:pt idx="3">
                  <c:v>-839.23648819859113</c:v>
                </c:pt>
                <c:pt idx="4">
                  <c:v>-435.42648816186227</c:v>
                </c:pt>
                <c:pt idx="5">
                  <c:v>-130.64153183711733</c:v>
                </c:pt>
                <c:pt idx="6">
                  <c:v>96.855652454107769</c:v>
                </c:pt>
                <c:pt idx="7">
                  <c:v>264.23241541546849</c:v>
                </c:pt>
                <c:pt idx="8">
                  <c:v>385.02909420559439</c:v>
                </c:pt>
                <c:pt idx="9">
                  <c:v>469.90901958978884</c:v>
                </c:pt>
                <c:pt idx="10">
                  <c:v>527.2549311791571</c:v>
                </c:pt>
                <c:pt idx="11">
                  <c:v>563.64311377619026</c:v>
                </c:pt>
                <c:pt idx="12">
                  <c:v>584.22019735301626</c:v>
                </c:pt>
                <c:pt idx="13">
                  <c:v>593.0024874727975</c:v>
                </c:pt>
                <c:pt idx="14">
                  <c:v>593.11364898920431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3744"/>
        <c:axId val="640745472"/>
      </c:scatterChart>
      <c:valAx>
        <c:axId val="199063744"/>
        <c:scaling>
          <c:orientation val="minMax"/>
          <c:max val="20"/>
          <c:min val="1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End of Year</a:t>
                </a:r>
              </a:p>
            </c:rich>
          </c:tx>
          <c:layout>
            <c:manualLayout>
              <c:xMode val="edge"/>
              <c:yMode val="edge"/>
              <c:x val="0.43417044685281297"/>
              <c:y val="0.890335353062279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0745472"/>
        <c:crosses val="autoZero"/>
        <c:crossBetween val="midCat"/>
        <c:majorUnit val="2"/>
        <c:minorUnit val="1"/>
      </c:valAx>
      <c:valAx>
        <c:axId val="640745472"/>
        <c:scaling>
          <c:orientation val="minMax"/>
          <c:max val="1000"/>
          <c:min val="-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baseline="0"/>
                  <a:t>Cumulative Income - x $1000</a:t>
                </a:r>
              </a:p>
            </c:rich>
          </c:tx>
          <c:layout>
            <c:manualLayout>
              <c:xMode val="edge"/>
              <c:yMode val="edge"/>
              <c:x val="5.5425174039983853E-5"/>
              <c:y val="0.2496904057996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0637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12</xdr:col>
      <xdr:colOff>488693</xdr:colOff>
      <xdr:row>114</xdr:row>
      <xdr:rowOff>123825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117</xdr:row>
      <xdr:rowOff>0</xdr:rowOff>
    </xdr:from>
    <xdr:to>
      <xdr:col>12</xdr:col>
      <xdr:colOff>488693</xdr:colOff>
      <xdr:row>148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12</xdr:col>
      <xdr:colOff>488693</xdr:colOff>
      <xdr:row>182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ec2000.net/16-cash.htm" TargetMode="External"/><Relationship Id="rId2" Type="http://schemas.openxmlformats.org/officeDocument/2006/relationships/hyperlink" Target="http://www.spec2000.net/16-eclife.htm" TargetMode="External"/><Relationship Id="rId1" Type="http://schemas.openxmlformats.org/officeDocument/2006/relationships/hyperlink" Target="https://www.spec2000.net/00-fineprint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187"/>
  <sheetViews>
    <sheetView tabSelected="1" showOutlineSymbols="0" defaultGridColor="0" colorId="15" zoomScale="124" zoomScaleNormal="124" workbookViewId="0">
      <selection sqref="A1:J1"/>
    </sheetView>
  </sheetViews>
  <sheetFormatPr defaultColWidth="7.7109375" defaultRowHeight="12.75"/>
  <cols>
    <col min="1" max="10" width="9.7109375" customWidth="1"/>
    <col min="12" max="17" width="9.7109375" customWidth="1"/>
    <col min="18" max="18" width="9.42578125" bestFit="1" customWidth="1"/>
    <col min="19" max="31" width="9.7109375" customWidth="1"/>
  </cols>
  <sheetData>
    <row r="1" spans="1:32" ht="30.75" thickTop="1">
      <c r="A1" s="119" t="s">
        <v>185</v>
      </c>
      <c r="B1" s="120"/>
      <c r="C1" s="120"/>
      <c r="D1" s="120"/>
      <c r="E1" s="120"/>
      <c r="F1" s="120"/>
      <c r="G1" s="120"/>
      <c r="H1" s="120"/>
      <c r="I1" s="120"/>
      <c r="J1" s="121"/>
      <c r="K1" s="122" t="s">
        <v>184</v>
      </c>
      <c r="L1" s="123"/>
      <c r="M1" s="123"/>
      <c r="N1" s="123"/>
      <c r="O1" s="123"/>
      <c r="P1" s="123"/>
      <c r="Q1" s="123"/>
      <c r="R1" s="124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</row>
    <row r="2" spans="1:32" ht="18">
      <c r="A2" s="87" t="s">
        <v>180</v>
      </c>
      <c r="B2" s="76"/>
      <c r="C2" s="76"/>
      <c r="D2" s="76"/>
      <c r="E2" s="76"/>
      <c r="F2" s="76"/>
      <c r="G2" s="76"/>
      <c r="H2" s="76"/>
      <c r="I2" s="76"/>
      <c r="J2" s="76"/>
      <c r="K2" s="126"/>
      <c r="L2" s="7"/>
      <c r="M2" s="7"/>
      <c r="N2" s="7"/>
      <c r="O2" s="7"/>
      <c r="P2" s="7"/>
      <c r="Q2" s="7"/>
      <c r="R2" s="7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6"/>
    </row>
    <row r="3" spans="1:32" ht="18">
      <c r="A3" s="87" t="s">
        <v>169</v>
      </c>
      <c r="B3" s="76"/>
      <c r="C3" s="76"/>
      <c r="D3" s="76"/>
      <c r="E3" s="76"/>
      <c r="F3" s="76"/>
      <c r="G3" s="76"/>
      <c r="H3" s="76"/>
      <c r="I3" s="76"/>
      <c r="J3" s="76"/>
      <c r="K3" s="126"/>
      <c r="L3" s="9" t="s">
        <v>0</v>
      </c>
      <c r="M3" s="9"/>
      <c r="N3" s="9"/>
      <c r="O3" s="8" t="s">
        <v>1</v>
      </c>
      <c r="P3" s="8" t="s">
        <v>2</v>
      </c>
      <c r="Q3" s="8" t="s">
        <v>3</v>
      </c>
      <c r="R3" s="8" t="s">
        <v>4</v>
      </c>
      <c r="S3" s="10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6"/>
    </row>
    <row r="4" spans="1:32" ht="13.5" thickBot="1">
      <c r="A4" s="88"/>
      <c r="B4" s="77"/>
      <c r="C4" s="77"/>
      <c r="D4" s="77"/>
      <c r="E4" s="77"/>
      <c r="F4" s="77"/>
      <c r="G4" s="77"/>
      <c r="H4" s="77"/>
      <c r="I4" s="77"/>
      <c r="J4" s="77"/>
      <c r="K4" s="126"/>
      <c r="L4" s="9" t="s">
        <v>5</v>
      </c>
      <c r="M4" s="9" t="s">
        <v>6</v>
      </c>
      <c r="N4" s="9" t="s">
        <v>7</v>
      </c>
      <c r="O4" s="8" t="s">
        <v>8</v>
      </c>
      <c r="P4" s="8" t="s">
        <v>8</v>
      </c>
      <c r="Q4" s="8" t="s">
        <v>8</v>
      </c>
      <c r="R4" s="8" t="s">
        <v>9</v>
      </c>
      <c r="S4" s="10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6"/>
    </row>
    <row r="5" spans="1:32" ht="15.95" customHeight="1" thickTop="1" thickBot="1">
      <c r="A5" s="129" t="s">
        <v>170</v>
      </c>
      <c r="B5" s="78"/>
      <c r="C5" s="78"/>
      <c r="D5" s="78"/>
      <c r="E5" s="78"/>
      <c r="F5" s="113"/>
      <c r="G5" s="113"/>
      <c r="H5" s="113"/>
      <c r="I5" s="130" t="s">
        <v>171</v>
      </c>
      <c r="J5" s="114"/>
      <c r="K5" s="127"/>
      <c r="L5" s="25">
        <f t="shared" ref="L5:L23" si="0">IF($A$15="M",N5,M5)</f>
        <v>1</v>
      </c>
      <c r="M5" s="25">
        <v>0</v>
      </c>
      <c r="N5" s="25">
        <v>1</v>
      </c>
      <c r="O5" s="25"/>
      <c r="P5" s="25" t="s">
        <v>10</v>
      </c>
      <c r="Q5" s="25"/>
      <c r="R5" s="25"/>
      <c r="S5" s="10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6"/>
    </row>
    <row r="6" spans="1:32" ht="14.25" thickTop="1" thickBot="1">
      <c r="A6" s="89"/>
      <c r="B6" s="79"/>
      <c r="C6" s="79"/>
      <c r="D6" s="79"/>
      <c r="E6" s="79"/>
      <c r="F6" s="79"/>
      <c r="G6" s="79"/>
      <c r="H6" s="79"/>
      <c r="I6" s="80"/>
      <c r="J6" s="79"/>
      <c r="K6" s="23"/>
      <c r="L6" s="30">
        <f t="shared" si="0"/>
        <v>21.5</v>
      </c>
      <c r="M6" s="30">
        <v>6.7</v>
      </c>
      <c r="N6" s="30">
        <v>21.5</v>
      </c>
      <c r="O6" s="30">
        <v>0.4</v>
      </c>
      <c r="P6" s="30">
        <f>E29</f>
        <v>0</v>
      </c>
      <c r="Q6" s="30">
        <v>1</v>
      </c>
      <c r="R6" s="30">
        <f>I29</f>
        <v>0</v>
      </c>
      <c r="S6" s="10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6"/>
    </row>
    <row r="7" spans="1:32" ht="14.25" thickTop="1" thickBot="1">
      <c r="A7" s="90" t="s">
        <v>172</v>
      </c>
      <c r="B7" s="82"/>
      <c r="C7" s="83" t="s">
        <v>173</v>
      </c>
      <c r="D7" s="84"/>
      <c r="E7" s="84"/>
      <c r="F7" s="84"/>
      <c r="G7" s="81"/>
      <c r="H7" s="82" t="s">
        <v>174</v>
      </c>
      <c r="I7" s="83" t="s">
        <v>11</v>
      </c>
      <c r="J7" s="84"/>
      <c r="K7" s="23"/>
      <c r="L7" s="30">
        <f t="shared" si="0"/>
        <v>1.8</v>
      </c>
      <c r="M7" s="30">
        <v>1</v>
      </c>
      <c r="N7" s="30">
        <v>1.8</v>
      </c>
      <c r="O7" s="30">
        <f>C30</f>
        <v>0</v>
      </c>
      <c r="P7" s="30">
        <f>E30</f>
        <v>0</v>
      </c>
      <c r="Q7" s="30">
        <v>0.5</v>
      </c>
      <c r="R7" s="30">
        <f>I30</f>
        <v>0</v>
      </c>
      <c r="S7" s="10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6"/>
    </row>
    <row r="8" spans="1:32" ht="14.25" thickTop="1" thickBot="1">
      <c r="A8" s="90" t="s">
        <v>175</v>
      </c>
      <c r="B8" s="82"/>
      <c r="C8" s="83" t="s">
        <v>176</v>
      </c>
      <c r="D8" s="84"/>
      <c r="E8" s="84"/>
      <c r="F8" s="84"/>
      <c r="G8" s="81"/>
      <c r="H8" s="82" t="s">
        <v>177</v>
      </c>
      <c r="I8" s="85" t="s">
        <v>178</v>
      </c>
      <c r="J8" s="84"/>
      <c r="K8" s="23"/>
      <c r="L8" s="30">
        <f t="shared" si="0"/>
        <v>32</v>
      </c>
      <c r="M8" s="30">
        <v>0</v>
      </c>
      <c r="N8" s="30">
        <v>32</v>
      </c>
      <c r="O8" s="30">
        <v>0.4</v>
      </c>
      <c r="P8" s="30">
        <f>E31</f>
        <v>0</v>
      </c>
      <c r="Q8" s="30">
        <v>0.3</v>
      </c>
      <c r="R8" s="30">
        <f>I31</f>
        <v>0</v>
      </c>
      <c r="S8" s="10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6"/>
    </row>
    <row r="9" spans="1:32" ht="13.5" thickTop="1">
      <c r="A9" s="90"/>
      <c r="B9" s="82"/>
      <c r="C9" s="84"/>
      <c r="D9" s="84"/>
      <c r="E9" s="84"/>
      <c r="F9" s="84"/>
      <c r="G9" s="82"/>
      <c r="H9" s="82"/>
      <c r="I9" s="84"/>
      <c r="J9" s="84"/>
      <c r="K9" s="23"/>
      <c r="L9" s="30">
        <f t="shared" si="0"/>
        <v>3.2808398950131199</v>
      </c>
      <c r="M9" s="30">
        <v>1</v>
      </c>
      <c r="N9" s="30">
        <v>3.2808398950131199</v>
      </c>
      <c r="O9" s="29">
        <v>0</v>
      </c>
      <c r="P9" s="30" t="s">
        <v>12</v>
      </c>
      <c r="Q9" s="28">
        <v>99999</v>
      </c>
      <c r="R9" s="30" t="s">
        <v>13</v>
      </c>
      <c r="S9" s="10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6"/>
    </row>
    <row r="10" spans="1:32">
      <c r="A10" s="112" t="s">
        <v>182</v>
      </c>
      <c r="B10" s="22"/>
      <c r="C10" s="22" t="s">
        <v>183</v>
      </c>
      <c r="D10" s="22"/>
      <c r="E10" s="22"/>
      <c r="F10" s="22"/>
      <c r="G10" s="22"/>
      <c r="H10" s="22"/>
      <c r="I10" s="22"/>
      <c r="J10" s="22"/>
      <c r="K10" s="23"/>
      <c r="L10" s="30">
        <f t="shared" si="0"/>
        <v>0.30480000000000002</v>
      </c>
      <c r="M10" s="30">
        <v>1</v>
      </c>
      <c r="N10" s="30">
        <v>0.30480000000000002</v>
      </c>
      <c r="O10" s="30">
        <v>41</v>
      </c>
      <c r="P10" s="30" t="s">
        <v>14</v>
      </c>
      <c r="Q10" s="30"/>
      <c r="R10" s="30"/>
      <c r="S10" s="10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6"/>
    </row>
    <row r="11" spans="1:32">
      <c r="A11" s="91"/>
      <c r="B11" s="22"/>
      <c r="C11" s="22" t="s">
        <v>181</v>
      </c>
      <c r="D11" s="22"/>
      <c r="E11" s="22"/>
      <c r="F11" s="22"/>
      <c r="G11" s="22"/>
      <c r="H11" s="22"/>
      <c r="I11" s="22"/>
      <c r="J11" s="22"/>
      <c r="K11" s="23"/>
      <c r="L11" s="30">
        <f t="shared" si="0"/>
        <v>2650</v>
      </c>
      <c r="M11" s="30">
        <v>2.65</v>
      </c>
      <c r="N11" s="28">
        <v>2650</v>
      </c>
      <c r="O11" s="30"/>
      <c r="P11" s="30"/>
      <c r="Q11" s="30"/>
      <c r="R11" s="30"/>
      <c r="S11" s="10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6"/>
    </row>
    <row r="12" spans="1:32" ht="13.5" thickBot="1">
      <c r="A12" s="91"/>
      <c r="B12" s="22"/>
      <c r="C12" s="22"/>
      <c r="D12" s="22"/>
      <c r="E12" s="22"/>
      <c r="F12" s="22"/>
      <c r="G12" s="22"/>
      <c r="H12" s="21"/>
      <c r="I12" s="21"/>
      <c r="J12" s="22"/>
      <c r="K12" s="23"/>
      <c r="L12" s="30">
        <f t="shared" si="0"/>
        <v>2710</v>
      </c>
      <c r="M12" s="30">
        <v>2.71</v>
      </c>
      <c r="N12" s="28">
        <v>2710</v>
      </c>
      <c r="O12" s="30"/>
      <c r="P12" s="30"/>
      <c r="Q12" s="30"/>
      <c r="R12" s="30"/>
      <c r="S12" s="10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6"/>
    </row>
    <row r="13" spans="1:32" ht="17.25" thickTop="1" thickBot="1">
      <c r="A13" s="92" t="s">
        <v>179</v>
      </c>
      <c r="B13" s="33"/>
      <c r="C13" s="14"/>
      <c r="D13" s="14"/>
      <c r="E13" s="14"/>
      <c r="F13" s="14"/>
      <c r="G13" s="14"/>
      <c r="H13" s="14"/>
      <c r="I13" s="14"/>
      <c r="J13" s="14"/>
      <c r="K13" s="23"/>
      <c r="L13" s="30">
        <f t="shared" si="0"/>
        <v>1</v>
      </c>
      <c r="M13" s="30">
        <v>0.159</v>
      </c>
      <c r="N13" s="30">
        <v>1</v>
      </c>
      <c r="O13" s="30" t="s">
        <v>18</v>
      </c>
      <c r="P13" s="30"/>
      <c r="Q13" s="30"/>
      <c r="R13" s="30"/>
      <c r="S13" s="10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"/>
    </row>
    <row r="14" spans="1:32" ht="14.25" thickTop="1" thickBot="1">
      <c r="A14" s="125" t="s">
        <v>15</v>
      </c>
      <c r="B14" s="18"/>
      <c r="C14" s="18"/>
      <c r="D14" s="18"/>
      <c r="E14" s="18"/>
      <c r="F14" s="18"/>
      <c r="G14" s="18"/>
      <c r="H14" s="18"/>
      <c r="I14" s="18"/>
      <c r="J14" s="18"/>
      <c r="K14" s="23"/>
      <c r="L14" s="30">
        <f t="shared" si="0"/>
        <v>1</v>
      </c>
      <c r="M14" s="30">
        <v>2.8299999999999999E-2</v>
      </c>
      <c r="N14" s="30">
        <v>1</v>
      </c>
      <c r="O14" s="30"/>
      <c r="P14" s="30"/>
      <c r="Q14" s="30"/>
      <c r="R14" s="30"/>
      <c r="S14" s="10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6"/>
    </row>
    <row r="15" spans="1:32" ht="14.25" thickTop="1" thickBot="1">
      <c r="A15" s="93" t="s">
        <v>16</v>
      </c>
      <c r="B15" s="35" t="s">
        <v>19</v>
      </c>
      <c r="C15" s="22" t="s">
        <v>20</v>
      </c>
      <c r="D15" s="22"/>
      <c r="E15" s="22" t="s">
        <v>21</v>
      </c>
      <c r="F15" s="22"/>
      <c r="G15" s="36" t="s">
        <v>22</v>
      </c>
      <c r="H15" s="22"/>
      <c r="I15" s="36" t="s">
        <v>23</v>
      </c>
      <c r="J15" s="22"/>
      <c r="K15" s="23"/>
      <c r="L15" s="30">
        <f t="shared" si="0"/>
        <v>1000</v>
      </c>
      <c r="M15" s="30">
        <v>1</v>
      </c>
      <c r="N15" s="28">
        <v>1000</v>
      </c>
      <c r="O15" s="30"/>
      <c r="P15" s="30"/>
      <c r="Q15" s="30"/>
      <c r="R15" s="30"/>
      <c r="S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6"/>
    </row>
    <row r="16" spans="1:32" ht="14.25" thickTop="1" thickBot="1">
      <c r="A16" s="94" t="s">
        <v>17</v>
      </c>
      <c r="B16" s="86">
        <v>1</v>
      </c>
      <c r="C16" s="32">
        <v>2152</v>
      </c>
      <c r="D16" s="19" t="str">
        <f>$L$24</f>
        <v>meters</v>
      </c>
      <c r="E16" s="32">
        <v>2154</v>
      </c>
      <c r="F16" s="19" t="str">
        <f>$L$24</f>
        <v>meters</v>
      </c>
      <c r="G16" s="31">
        <v>13</v>
      </c>
      <c r="H16" s="19"/>
      <c r="I16" s="31" t="s">
        <v>24</v>
      </c>
      <c r="J16" s="19"/>
      <c r="K16" s="23"/>
      <c r="L16" s="30">
        <f t="shared" si="0"/>
        <v>2149</v>
      </c>
      <c r="M16" s="30">
        <v>162.6</v>
      </c>
      <c r="N16" s="28">
        <v>2149</v>
      </c>
      <c r="O16" s="30"/>
      <c r="P16" s="30"/>
      <c r="Q16" s="30"/>
      <c r="R16" s="30"/>
      <c r="S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6"/>
    </row>
    <row r="17" spans="1:32" ht="14.25" thickTop="1" thickBot="1">
      <c r="A17" s="93"/>
      <c r="B17" s="86">
        <v>2</v>
      </c>
      <c r="C17" s="32">
        <v>2160</v>
      </c>
      <c r="D17" s="19" t="str">
        <f>$L$24</f>
        <v>meters</v>
      </c>
      <c r="E17" s="32">
        <v>2162</v>
      </c>
      <c r="F17" s="19" t="str">
        <f>$L$24</f>
        <v>meters</v>
      </c>
      <c r="G17" s="31">
        <v>13</v>
      </c>
      <c r="H17" s="19"/>
      <c r="I17" s="31" t="s">
        <v>25</v>
      </c>
      <c r="J17" s="19"/>
      <c r="K17" s="23"/>
      <c r="L17" s="30">
        <f t="shared" si="0"/>
        <v>2.149</v>
      </c>
      <c r="M17" s="30">
        <v>162.6</v>
      </c>
      <c r="N17" s="30">
        <v>2.149</v>
      </c>
      <c r="O17" s="30"/>
      <c r="P17" s="30"/>
      <c r="Q17" s="30"/>
      <c r="R17" s="30"/>
      <c r="S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6"/>
    </row>
    <row r="18" spans="1:32" ht="14.25" thickTop="1" thickBot="1">
      <c r="A18" s="93"/>
      <c r="B18" s="86">
        <v>3</v>
      </c>
      <c r="C18" s="32"/>
      <c r="D18" s="19" t="str">
        <f>$L$24</f>
        <v>meters</v>
      </c>
      <c r="E18" s="32"/>
      <c r="F18" s="19" t="str">
        <f>$L$24</f>
        <v>meters</v>
      </c>
      <c r="G18" s="31"/>
      <c r="H18" s="19"/>
      <c r="I18" s="31" t="s">
        <v>26</v>
      </c>
      <c r="J18" s="19"/>
      <c r="K18" s="23"/>
      <c r="L18" s="30">
        <f t="shared" si="0"/>
        <v>273</v>
      </c>
      <c r="M18" s="28">
        <v>460</v>
      </c>
      <c r="N18" s="28">
        <v>273</v>
      </c>
      <c r="O18" s="30"/>
      <c r="P18" s="30"/>
      <c r="Q18" s="30"/>
      <c r="R18" s="30"/>
      <c r="S18" s="1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6"/>
    </row>
    <row r="19" spans="1:32" ht="14.25" thickTop="1" thickBot="1">
      <c r="A19" s="93"/>
      <c r="B19" s="86">
        <v>4</v>
      </c>
      <c r="C19" s="32"/>
      <c r="D19" s="19" t="str">
        <f>$L$24</f>
        <v>meters</v>
      </c>
      <c r="E19" s="32"/>
      <c r="F19" s="19" t="str">
        <f>$L$24</f>
        <v>meters</v>
      </c>
      <c r="G19" s="31"/>
      <c r="H19" s="19"/>
      <c r="I19" s="31" t="s">
        <v>26</v>
      </c>
      <c r="J19" s="19"/>
      <c r="K19" s="23"/>
      <c r="L19" s="30">
        <f t="shared" si="0"/>
        <v>5.354E-4</v>
      </c>
      <c r="M19" s="30">
        <v>7.0800000000000004E-3</v>
      </c>
      <c r="N19" s="30">
        <v>5.354E-4</v>
      </c>
      <c r="O19" s="30"/>
      <c r="P19" s="30"/>
      <c r="Q19" s="30"/>
      <c r="R19" s="30"/>
      <c r="S19" s="1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6"/>
    </row>
    <row r="20" spans="1:32" ht="14.25" thickTop="1" thickBot="1">
      <c r="A20" s="95"/>
      <c r="B20" s="86">
        <v>5</v>
      </c>
      <c r="C20" s="60"/>
      <c r="D20" s="19" t="str">
        <f>$L$24</f>
        <v>meters</v>
      </c>
      <c r="E20" s="60"/>
      <c r="F20" s="19" t="str">
        <f>$L$24</f>
        <v>meters</v>
      </c>
      <c r="G20" s="60"/>
      <c r="H20" s="19"/>
      <c r="I20" s="60"/>
      <c r="J20" s="19"/>
      <c r="K20" s="23"/>
      <c r="L20" s="30">
        <f t="shared" si="0"/>
        <v>1.3089999999999999</v>
      </c>
      <c r="M20" s="28">
        <v>1424</v>
      </c>
      <c r="N20" s="30">
        <v>1.3089999999999999</v>
      </c>
      <c r="O20" s="30"/>
      <c r="P20" s="30"/>
      <c r="Q20" s="30"/>
      <c r="R20" s="30"/>
      <c r="S20" s="10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6"/>
    </row>
    <row r="21" spans="1:32" ht="13.5" thickTop="1">
      <c r="A21" s="91"/>
      <c r="B21" s="22"/>
      <c r="C21" s="22"/>
      <c r="D21" s="22"/>
      <c r="E21" s="22"/>
      <c r="F21" s="22"/>
      <c r="G21" s="22"/>
      <c r="H21" s="22"/>
      <c r="I21" s="22"/>
      <c r="J21" s="22"/>
      <c r="K21" s="23" t="s">
        <v>27</v>
      </c>
      <c r="L21" s="30">
        <f t="shared" si="0"/>
        <v>1.508</v>
      </c>
      <c r="M21" s="28">
        <v>1637</v>
      </c>
      <c r="N21" s="30">
        <v>1.508</v>
      </c>
      <c r="O21" s="30"/>
      <c r="P21" s="30"/>
      <c r="Q21" s="30"/>
      <c r="R21" s="30"/>
      <c r="S21" s="1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6"/>
    </row>
    <row r="22" spans="1:32">
      <c r="A22" s="91"/>
      <c r="B22" s="22"/>
      <c r="C22" s="22"/>
      <c r="D22" s="22"/>
      <c r="E22" s="22"/>
      <c r="F22" s="22"/>
      <c r="G22" s="22"/>
      <c r="H22" s="22"/>
      <c r="I22" s="22"/>
      <c r="J22" s="22"/>
      <c r="K22" s="23" t="s">
        <v>28</v>
      </c>
      <c r="L22" s="30">
        <f t="shared" si="0"/>
        <v>101.35</v>
      </c>
      <c r="M22" s="30">
        <v>14.65</v>
      </c>
      <c r="N22" s="29">
        <v>101.35</v>
      </c>
      <c r="O22" s="30"/>
      <c r="P22" s="30"/>
      <c r="Q22" s="30"/>
      <c r="R22" s="30"/>
      <c r="S22" s="1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6"/>
    </row>
    <row r="23" spans="1:32">
      <c r="A23" s="91"/>
      <c r="B23" s="22"/>
      <c r="C23" s="22"/>
      <c r="D23" s="22"/>
      <c r="E23" s="22"/>
      <c r="F23" s="22"/>
      <c r="G23" s="22"/>
      <c r="H23" s="22"/>
      <c r="I23" s="22"/>
      <c r="J23" s="22"/>
      <c r="K23" s="23" t="s">
        <v>29</v>
      </c>
      <c r="L23" s="30">
        <f t="shared" si="0"/>
        <v>175.868055555556</v>
      </c>
      <c r="M23" s="30">
        <v>4.5304645133198704</v>
      </c>
      <c r="N23" s="29">
        <v>175.868055555556</v>
      </c>
      <c r="O23" s="30"/>
      <c r="P23" s="30"/>
      <c r="Q23" s="30"/>
      <c r="R23" s="30"/>
      <c r="S23" s="1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6"/>
    </row>
    <row r="24" spans="1:32" ht="13.5" thickBot="1">
      <c r="A24" s="96" t="s">
        <v>30</v>
      </c>
      <c r="B24" s="22"/>
      <c r="C24" s="22" t="s">
        <v>31</v>
      </c>
      <c r="D24" s="22"/>
      <c r="E24" s="36" t="s">
        <v>32</v>
      </c>
      <c r="F24" s="22"/>
      <c r="G24" s="36" t="s">
        <v>33</v>
      </c>
      <c r="H24" s="22"/>
      <c r="I24" s="22" t="s">
        <v>34</v>
      </c>
      <c r="J24" s="22"/>
      <c r="K24" s="23" t="s">
        <v>35</v>
      </c>
      <c r="L24" s="30" t="str">
        <f t="shared" ref="L24:L37" si="1">IF($A$15="M",N24,IF($A$25=1,K21,M24))</f>
        <v>meters</v>
      </c>
      <c r="M24" s="24" t="s">
        <v>27</v>
      </c>
      <c r="N24" s="24" t="s">
        <v>36</v>
      </c>
      <c r="O24" s="30"/>
      <c r="P24" s="30"/>
      <c r="Q24" s="30"/>
      <c r="R24" s="30"/>
      <c r="S24" s="1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6"/>
    </row>
    <row r="25" spans="1:32" ht="14.25" thickTop="1" thickBot="1">
      <c r="A25" s="95">
        <v>0</v>
      </c>
      <c r="B25" s="22"/>
      <c r="C25" s="32">
        <v>2153</v>
      </c>
      <c r="D25" s="19" t="str">
        <f>$L$24</f>
        <v>meters</v>
      </c>
      <c r="E25" s="31">
        <v>0.14499999999999999</v>
      </c>
      <c r="F25" s="19" t="s">
        <v>8</v>
      </c>
      <c r="G25" s="31">
        <v>42.8</v>
      </c>
      <c r="H25" s="19" t="s">
        <v>9</v>
      </c>
      <c r="I25" s="31">
        <v>3.8</v>
      </c>
      <c r="J25" s="19" t="str">
        <f>$L$24</f>
        <v>meters</v>
      </c>
      <c r="K25" s="23" t="s">
        <v>37</v>
      </c>
      <c r="L25" s="30" t="str">
        <f t="shared" si="1"/>
        <v>us/m</v>
      </c>
      <c r="M25" s="24" t="s">
        <v>28</v>
      </c>
      <c r="N25" s="24" t="s">
        <v>38</v>
      </c>
      <c r="O25" s="30"/>
      <c r="P25" s="30"/>
      <c r="Q25" s="30"/>
      <c r="R25" s="30"/>
      <c r="S25" s="1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6"/>
    </row>
    <row r="26" spans="1:32" ht="13.5" thickTop="1">
      <c r="A26" s="94" t="s">
        <v>39</v>
      </c>
      <c r="B26" s="22"/>
      <c r="C26" s="18"/>
      <c r="D26" s="22"/>
      <c r="E26" s="18" t="s">
        <v>40</v>
      </c>
      <c r="F26" s="22"/>
      <c r="G26" s="18"/>
      <c r="H26" s="6"/>
      <c r="I26" s="4"/>
      <c r="J26" s="22"/>
      <c r="K26" s="23" t="s">
        <v>41</v>
      </c>
      <c r="L26" s="30" t="str">
        <f t="shared" si="1"/>
        <v>KPa</v>
      </c>
      <c r="M26" s="24" t="s">
        <v>29</v>
      </c>
      <c r="N26" s="24" t="s">
        <v>42</v>
      </c>
      <c r="O26" s="30"/>
      <c r="P26" s="30"/>
      <c r="Q26" s="30"/>
      <c r="R26" s="30"/>
      <c r="S26" s="1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6"/>
    </row>
    <row r="27" spans="1:32">
      <c r="A27" s="91"/>
      <c r="B27" s="22"/>
      <c r="C27" s="22"/>
      <c r="D27" s="22"/>
      <c r="E27" s="22"/>
      <c r="F27" s="22"/>
      <c r="G27" s="22"/>
      <c r="H27" s="22"/>
      <c r="I27" s="22"/>
      <c r="J27" s="22"/>
      <c r="K27" s="23" t="s">
        <v>43</v>
      </c>
      <c r="L27" s="30" t="str">
        <f t="shared" si="1"/>
        <v>m3/d</v>
      </c>
      <c r="M27" s="24" t="s">
        <v>44</v>
      </c>
      <c r="N27" s="24" t="s">
        <v>45</v>
      </c>
      <c r="O27" s="30"/>
      <c r="P27" s="30"/>
      <c r="Q27" s="30"/>
      <c r="R27" s="30"/>
      <c r="S27" s="1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6"/>
    </row>
    <row r="28" spans="1:32">
      <c r="A28" s="91"/>
      <c r="B28" s="22"/>
      <c r="C28" s="22"/>
      <c r="D28" s="22"/>
      <c r="E28" s="22"/>
      <c r="F28" s="22"/>
      <c r="G28" s="22"/>
      <c r="H28" s="22"/>
      <c r="I28" s="22"/>
      <c r="J28" s="22"/>
      <c r="K28" s="23" t="s">
        <v>6</v>
      </c>
      <c r="L28" s="30" t="str">
        <f t="shared" si="1"/>
        <v>Kg/m3</v>
      </c>
      <c r="M28" s="24" t="s">
        <v>37</v>
      </c>
      <c r="N28" s="24" t="s">
        <v>46</v>
      </c>
      <c r="O28" s="30"/>
      <c r="P28" s="30"/>
      <c r="Q28" s="30"/>
      <c r="R28" s="30"/>
      <c r="S28" s="1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6"/>
    </row>
    <row r="29" spans="1:32">
      <c r="A29" s="91"/>
      <c r="B29" s="22"/>
      <c r="C29" s="22"/>
      <c r="D29" s="22"/>
      <c r="E29" s="22"/>
      <c r="F29" s="22"/>
      <c r="G29" s="22"/>
      <c r="H29" s="22"/>
      <c r="I29" s="22"/>
      <c r="J29" s="22"/>
      <c r="K29" s="23" t="s">
        <v>47</v>
      </c>
      <c r="L29" s="30" t="str">
        <f t="shared" si="1"/>
        <v>mm</v>
      </c>
      <c r="M29" s="24" t="s">
        <v>41</v>
      </c>
      <c r="N29" s="24" t="s">
        <v>48</v>
      </c>
      <c r="O29" s="30"/>
      <c r="P29" s="30"/>
      <c r="Q29" s="30"/>
      <c r="R29" s="30"/>
      <c r="S29" s="1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6"/>
    </row>
    <row r="30" spans="1:32">
      <c r="A30" s="91"/>
      <c r="B30" s="22"/>
      <c r="C30" s="22"/>
      <c r="D30" s="22"/>
      <c r="E30" s="22"/>
      <c r="F30" s="22"/>
      <c r="G30" s="22"/>
      <c r="H30" s="22"/>
      <c r="I30" s="22"/>
      <c r="J30" s="22"/>
      <c r="K30" s="23" t="s">
        <v>49</v>
      </c>
      <c r="L30" s="30" t="str">
        <f t="shared" si="1"/>
        <v>'C</v>
      </c>
      <c r="M30" s="24" t="s">
        <v>43</v>
      </c>
      <c r="N30" s="24" t="s">
        <v>50</v>
      </c>
      <c r="O30" s="30"/>
      <c r="P30" s="30"/>
      <c r="Q30" s="30"/>
      <c r="R30" s="30"/>
      <c r="S30" s="1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6"/>
    </row>
    <row r="31" spans="1:32">
      <c r="A31" s="91"/>
      <c r="B31" s="22"/>
      <c r="C31" s="22"/>
      <c r="D31" s="22"/>
      <c r="E31" s="22"/>
      <c r="F31" s="22"/>
      <c r="G31" s="22"/>
      <c r="H31" s="22"/>
      <c r="I31" s="22"/>
      <c r="J31" s="22"/>
      <c r="K31" s="23" t="s">
        <v>51</v>
      </c>
      <c r="L31" s="30" t="str">
        <f t="shared" si="1"/>
        <v>Metric</v>
      </c>
      <c r="M31" s="24" t="s">
        <v>6</v>
      </c>
      <c r="N31" s="24" t="s">
        <v>52</v>
      </c>
      <c r="O31" s="30"/>
      <c r="P31" s="30"/>
      <c r="Q31" s="30"/>
      <c r="R31" s="30"/>
      <c r="S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6"/>
    </row>
    <row r="32" spans="1:32">
      <c r="A32" s="91"/>
      <c r="B32" s="22"/>
      <c r="C32" s="22"/>
      <c r="D32" s="22"/>
      <c r="E32" s="22"/>
      <c r="F32" s="22"/>
      <c r="G32" s="22"/>
      <c r="H32" s="22"/>
      <c r="I32" s="22"/>
      <c r="J32" s="22"/>
      <c r="K32" s="23" t="s">
        <v>53</v>
      </c>
      <c r="L32" s="30" t="str">
        <f t="shared" si="1"/>
        <v>md-m</v>
      </c>
      <c r="M32" s="24" t="s">
        <v>47</v>
      </c>
      <c r="N32" s="24" t="s">
        <v>54</v>
      </c>
      <c r="O32" s="30"/>
      <c r="P32" s="30"/>
      <c r="Q32" s="27"/>
      <c r="R32" s="27"/>
      <c r="S32" s="10"/>
      <c r="T32" s="11"/>
      <c r="U32" s="11"/>
      <c r="V32" s="11"/>
      <c r="W32" s="11"/>
      <c r="X32" s="11"/>
      <c r="Y32" s="11"/>
      <c r="Z32" s="11"/>
      <c r="AA32" s="12"/>
      <c r="AB32" s="12"/>
      <c r="AC32" s="12"/>
      <c r="AD32" s="12"/>
      <c r="AE32" s="12"/>
      <c r="AF32" s="6"/>
    </row>
    <row r="33" spans="1:33">
      <c r="A33" s="97"/>
      <c r="B33" s="37"/>
      <c r="C33" s="37"/>
      <c r="D33" s="37"/>
      <c r="E33" s="37"/>
      <c r="F33" s="37"/>
      <c r="G33" s="37"/>
      <c r="H33" s="39"/>
      <c r="I33" s="20"/>
      <c r="J33" s="22"/>
      <c r="K33" s="23" t="s">
        <v>55</v>
      </c>
      <c r="L33" s="30" t="str">
        <f t="shared" si="1"/>
        <v>m3</v>
      </c>
      <c r="M33" s="24" t="s">
        <v>56</v>
      </c>
      <c r="N33" s="24" t="s">
        <v>57</v>
      </c>
      <c r="O33" s="30"/>
      <c r="P33" s="30"/>
      <c r="Q33" s="30"/>
      <c r="R33" s="30"/>
      <c r="S33" s="10"/>
      <c r="T33" s="11"/>
      <c r="U33" s="11"/>
      <c r="V33" s="11"/>
      <c r="W33" s="11"/>
      <c r="X33" s="11"/>
      <c r="Y33" s="11"/>
      <c r="Z33" s="11"/>
      <c r="AA33" s="12"/>
      <c r="AB33" s="12"/>
      <c r="AC33" s="12"/>
      <c r="AD33" s="12"/>
      <c r="AE33" s="12"/>
      <c r="AF33" s="6"/>
    </row>
    <row r="34" spans="1:33">
      <c r="A34" s="98"/>
      <c r="B34" s="38"/>
      <c r="C34" s="38"/>
      <c r="D34" s="38"/>
      <c r="E34" s="38"/>
      <c r="F34" s="38"/>
      <c r="G34" s="38"/>
      <c r="H34" s="40"/>
      <c r="I34" s="20"/>
      <c r="J34" s="22"/>
      <c r="K34" s="23" t="s">
        <v>58</v>
      </c>
      <c r="L34" s="30" t="str">
        <f t="shared" si="1"/>
        <v>$/m3</v>
      </c>
      <c r="M34" s="24" t="s">
        <v>59</v>
      </c>
      <c r="N34" s="24" t="s">
        <v>60</v>
      </c>
      <c r="O34" s="30"/>
      <c r="P34" s="30"/>
      <c r="Q34" s="30"/>
      <c r="R34" s="30"/>
      <c r="S34" s="10"/>
      <c r="T34" s="11"/>
      <c r="U34" s="11"/>
      <c r="V34" s="11"/>
      <c r="W34" s="11"/>
      <c r="X34" s="11"/>
      <c r="Y34" s="11"/>
      <c r="Z34" s="11"/>
      <c r="AA34" s="12"/>
      <c r="AB34" s="12"/>
      <c r="AC34" s="12"/>
      <c r="AD34" s="12"/>
      <c r="AE34" s="12"/>
      <c r="AF34" s="6"/>
    </row>
    <row r="35" spans="1:33">
      <c r="A35" s="98"/>
      <c r="B35" s="38"/>
      <c r="C35" s="38"/>
      <c r="D35" s="38"/>
      <c r="E35" s="38"/>
      <c r="F35" s="38"/>
      <c r="G35" s="38"/>
      <c r="H35" s="40"/>
      <c r="I35" s="20"/>
      <c r="J35" s="22"/>
      <c r="K35" s="23" t="s">
        <v>61</v>
      </c>
      <c r="L35" s="30" t="str">
        <f t="shared" si="1"/>
        <v>m3/KPa</v>
      </c>
      <c r="M35" s="24" t="s">
        <v>53</v>
      </c>
      <c r="N35" s="24" t="s">
        <v>62</v>
      </c>
      <c r="O35" s="30"/>
      <c r="P35" s="30"/>
      <c r="Q35" s="30"/>
      <c r="R35" s="30"/>
      <c r="S35" s="10"/>
      <c r="T35" s="11"/>
      <c r="U35" s="11"/>
      <c r="V35" s="11"/>
      <c r="W35" s="11"/>
      <c r="X35" s="11"/>
      <c r="Y35" s="11"/>
      <c r="Z35" s="11"/>
      <c r="AA35" s="12"/>
      <c r="AB35" s="12"/>
      <c r="AC35" s="12"/>
      <c r="AD35" s="12"/>
      <c r="AE35" s="12"/>
      <c r="AF35" s="6"/>
    </row>
    <row r="36" spans="1:33">
      <c r="A36" s="98" t="s">
        <v>63</v>
      </c>
      <c r="B36" s="38"/>
      <c r="C36" s="38"/>
      <c r="D36" s="38"/>
      <c r="E36" s="38"/>
      <c r="F36" s="38"/>
      <c r="G36" s="38"/>
      <c r="H36" s="40"/>
      <c r="I36" s="20"/>
      <c r="J36" s="22"/>
      <c r="K36" s="23" t="s">
        <v>64</v>
      </c>
      <c r="L36" s="30" t="str">
        <f t="shared" si="1"/>
        <v>1000bbl</v>
      </c>
      <c r="M36" s="24" t="s">
        <v>65</v>
      </c>
      <c r="N36" s="24" t="s">
        <v>65</v>
      </c>
      <c r="O36" s="30"/>
      <c r="P36" s="30"/>
      <c r="Q36" s="30"/>
      <c r="R36" s="30"/>
      <c r="S36" s="10"/>
      <c r="T36" s="11"/>
      <c r="U36" s="11"/>
      <c r="V36" s="11"/>
      <c r="W36" s="11"/>
      <c r="X36" s="11"/>
      <c r="Y36" s="11"/>
      <c r="Z36" s="11"/>
      <c r="AA36" s="12"/>
      <c r="AB36" s="12"/>
      <c r="AC36" s="12"/>
      <c r="AD36" s="12"/>
      <c r="AE36" s="12"/>
      <c r="AF36" s="6"/>
    </row>
    <row r="37" spans="1:33">
      <c r="A37" s="98" t="s">
        <v>66</v>
      </c>
      <c r="B37" s="38"/>
      <c r="C37" s="38"/>
      <c r="D37" s="38"/>
      <c r="E37" s="38"/>
      <c r="F37" s="38"/>
      <c r="G37" s="38"/>
      <c r="H37" s="40"/>
      <c r="I37" s="20"/>
      <c r="J37" s="22"/>
      <c r="K37" s="23" t="s">
        <v>67</v>
      </c>
      <c r="L37" s="30" t="str">
        <f t="shared" si="1"/>
        <v xml:space="preserve"> bbl/d</v>
      </c>
      <c r="M37" s="24" t="s">
        <v>68</v>
      </c>
      <c r="N37" s="24" t="s">
        <v>68</v>
      </c>
      <c r="O37" s="30"/>
      <c r="P37" s="30"/>
      <c r="Q37" s="30"/>
      <c r="R37" s="30"/>
      <c r="S37" s="10"/>
      <c r="T37" s="11"/>
      <c r="U37" s="11"/>
      <c r="V37" s="11"/>
      <c r="W37" s="11"/>
      <c r="X37" s="11"/>
      <c r="Y37" s="11"/>
      <c r="Z37" s="11"/>
      <c r="AA37" s="12"/>
      <c r="AB37" s="12"/>
      <c r="AC37" s="12"/>
      <c r="AD37" s="12"/>
      <c r="AE37" s="12"/>
      <c r="AF37" s="6"/>
    </row>
    <row r="38" spans="1:33">
      <c r="A38" s="98"/>
      <c r="B38" s="38"/>
      <c r="C38" s="38"/>
      <c r="D38" s="38"/>
      <c r="E38" s="38"/>
      <c r="F38" s="38"/>
      <c r="G38" s="38"/>
      <c r="H38" s="40"/>
      <c r="I38" s="20"/>
      <c r="J38" s="22"/>
      <c r="K38" s="26"/>
      <c r="L38" s="30" t="str">
        <f>IF($A$15="M",N38,M38)</f>
        <v>m3</v>
      </c>
      <c r="M38" s="24" t="s">
        <v>56</v>
      </c>
      <c r="N38" s="24" t="s">
        <v>57</v>
      </c>
      <c r="O38" s="30"/>
      <c r="P38" s="30"/>
      <c r="Q38" s="30"/>
      <c r="R38" s="30"/>
      <c r="S38" s="10"/>
      <c r="T38" s="11"/>
      <c r="U38" s="11"/>
      <c r="V38" s="11"/>
      <c r="W38" s="11"/>
      <c r="X38" s="11"/>
      <c r="Y38" s="11"/>
      <c r="Z38" s="11"/>
      <c r="AA38" s="12"/>
      <c r="AB38" s="12"/>
      <c r="AC38" s="12"/>
      <c r="AD38" s="12"/>
      <c r="AE38" s="12"/>
      <c r="AF38" s="6"/>
    </row>
    <row r="39" spans="1:33">
      <c r="A39" s="99"/>
      <c r="B39" s="41"/>
      <c r="C39" s="41"/>
      <c r="D39" s="41"/>
      <c r="E39" s="41"/>
      <c r="F39" s="41"/>
      <c r="G39" s="41"/>
      <c r="H39" s="34"/>
      <c r="I39" s="22"/>
      <c r="J39" s="22"/>
      <c r="K39" s="26"/>
      <c r="L39" s="30" t="str">
        <f>IF($A$15="M",N39,M39)</f>
        <v xml:space="preserve">  Oil</v>
      </c>
      <c r="M39" s="24" t="s">
        <v>69</v>
      </c>
      <c r="N39" s="24" t="s">
        <v>69</v>
      </c>
      <c r="O39" s="30"/>
      <c r="P39" s="30"/>
      <c r="Q39" s="30"/>
      <c r="R39" s="30"/>
      <c r="S39" s="10"/>
      <c r="T39" s="11"/>
      <c r="U39" s="11"/>
      <c r="V39" s="11"/>
      <c r="W39" s="11"/>
      <c r="X39" s="11"/>
      <c r="Y39" s="11"/>
      <c r="Z39" s="11"/>
      <c r="AA39" s="12"/>
      <c r="AB39" s="12"/>
      <c r="AC39" s="12"/>
      <c r="AD39" s="12"/>
      <c r="AE39" s="12"/>
      <c r="AF39" s="6"/>
    </row>
    <row r="40" spans="1:33">
      <c r="A40" s="100"/>
      <c r="B40" s="36"/>
      <c r="C40" s="36"/>
      <c r="D40" s="36"/>
      <c r="E40" s="36"/>
      <c r="F40" s="36"/>
      <c r="G40" s="36"/>
      <c r="H40" s="36"/>
      <c r="I40" s="22"/>
      <c r="J40" s="22"/>
      <c r="K40" s="26"/>
      <c r="L40" s="30" t="str">
        <f>IF($A$15="M",N40,M40)</f>
        <v>10^3m3</v>
      </c>
      <c r="M40" s="24" t="s">
        <v>70</v>
      </c>
      <c r="N40" s="24" t="s">
        <v>70</v>
      </c>
      <c r="O40" s="30"/>
      <c r="P40" s="30"/>
      <c r="Q40" s="30"/>
      <c r="R40" s="30"/>
      <c r="S40" s="10"/>
      <c r="T40" s="11"/>
      <c r="U40" s="11"/>
      <c r="V40" s="11"/>
      <c r="W40" s="11"/>
      <c r="X40" s="11"/>
      <c r="Y40" s="11"/>
      <c r="Z40" s="11"/>
      <c r="AA40" s="12"/>
      <c r="AB40" s="12"/>
      <c r="AC40" s="12"/>
      <c r="AD40" s="12"/>
      <c r="AE40" s="12"/>
      <c r="AF40" s="6"/>
    </row>
    <row r="41" spans="1:33" ht="13.5" thickBot="1">
      <c r="A41" s="91" t="s">
        <v>71</v>
      </c>
      <c r="B41" s="22" t="s">
        <v>72</v>
      </c>
      <c r="C41" s="22" t="s">
        <v>72</v>
      </c>
      <c r="D41" s="22" t="s">
        <v>72</v>
      </c>
      <c r="E41" s="22" t="s">
        <v>72</v>
      </c>
      <c r="F41" s="22" t="s">
        <v>72</v>
      </c>
      <c r="G41" s="22" t="s">
        <v>72</v>
      </c>
      <c r="H41" s="22" t="s">
        <v>72</v>
      </c>
      <c r="I41" s="22" t="s">
        <v>72</v>
      </c>
      <c r="J41" s="22" t="s">
        <v>73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6"/>
    </row>
    <row r="42" spans="1:33" ht="16.5" thickTop="1">
      <c r="A42" s="101"/>
      <c r="B42" s="14"/>
      <c r="C42" s="14" t="s">
        <v>74</v>
      </c>
      <c r="D42" s="14"/>
      <c r="E42" s="14"/>
      <c r="F42" s="14"/>
      <c r="G42" s="14"/>
      <c r="H42" s="14"/>
      <c r="I42" s="14"/>
      <c r="J42" s="14"/>
      <c r="K42" s="16"/>
      <c r="L42" s="16"/>
      <c r="M42" s="14"/>
      <c r="N42" s="14"/>
      <c r="O42" s="14"/>
      <c r="P42" s="13" t="s">
        <v>75</v>
      </c>
      <c r="Q42" s="13"/>
      <c r="R42" s="14"/>
      <c r="S42" s="14"/>
      <c r="T42" s="14"/>
      <c r="U42" s="16" t="s">
        <v>76</v>
      </c>
      <c r="V42" s="14"/>
      <c r="W42" s="14"/>
      <c r="X42" s="14" t="s">
        <v>77</v>
      </c>
      <c r="Y42" s="14"/>
      <c r="Z42" s="14"/>
      <c r="AA42" s="14"/>
      <c r="AB42" s="14"/>
      <c r="AC42" s="14"/>
      <c r="AD42" s="14"/>
      <c r="AE42" s="14" t="s">
        <v>76</v>
      </c>
      <c r="AF42" s="5"/>
    </row>
    <row r="43" spans="1:33" ht="16.5" thickBot="1">
      <c r="A43" s="102" t="s">
        <v>78</v>
      </c>
      <c r="B43" s="17"/>
      <c r="C43" s="17"/>
      <c r="D43" s="17"/>
      <c r="E43" s="17"/>
      <c r="F43" s="17"/>
      <c r="G43" s="17"/>
      <c r="H43" s="17"/>
      <c r="I43" s="17"/>
      <c r="J43" s="17"/>
      <c r="K43" s="15"/>
      <c r="L43" s="15"/>
      <c r="M43" s="17"/>
      <c r="N43" s="17"/>
      <c r="O43" s="17"/>
      <c r="P43" s="17"/>
      <c r="Q43" s="17"/>
      <c r="R43" s="17"/>
      <c r="S43" s="17"/>
      <c r="T43" s="17"/>
      <c r="U43" s="15" t="s">
        <v>76</v>
      </c>
      <c r="V43" s="17"/>
      <c r="W43" s="17"/>
      <c r="X43" s="17"/>
      <c r="Y43" s="17"/>
      <c r="Z43" s="17"/>
      <c r="AA43" s="17"/>
      <c r="AB43" s="17"/>
      <c r="AC43" s="17"/>
      <c r="AD43" s="17"/>
      <c r="AE43" s="17" t="s">
        <v>76</v>
      </c>
      <c r="AF43" s="5"/>
    </row>
    <row r="44" spans="1:33" ht="13.5" thickTop="1">
      <c r="A44" s="103" t="s">
        <v>79</v>
      </c>
      <c r="B44" s="45"/>
      <c r="C44" s="45"/>
      <c r="D44" s="45"/>
      <c r="E44" s="45"/>
      <c r="F44" s="45"/>
      <c r="G44" s="45"/>
      <c r="H44" s="45"/>
      <c r="I44" s="45"/>
      <c r="J44" s="45"/>
      <c r="K44" s="43"/>
      <c r="L44" s="51"/>
      <c r="M44" s="49" t="s">
        <v>80</v>
      </c>
      <c r="N44" s="49" t="s">
        <v>81</v>
      </c>
      <c r="O44" s="49" t="s">
        <v>82</v>
      </c>
      <c r="P44" s="49" t="s">
        <v>83</v>
      </c>
      <c r="Q44" s="49"/>
      <c r="R44" s="49" t="s">
        <v>84</v>
      </c>
      <c r="S44" s="49" t="s">
        <v>85</v>
      </c>
      <c r="T44" s="49"/>
      <c r="U44" s="43"/>
      <c r="V44" s="45" t="s">
        <v>86</v>
      </c>
      <c r="W44" s="45" t="s">
        <v>87</v>
      </c>
      <c r="X44" s="45"/>
      <c r="Y44" s="45" t="s">
        <v>88</v>
      </c>
      <c r="Z44" s="45"/>
      <c r="AA44" s="45"/>
      <c r="AB44" s="45" t="s">
        <v>89</v>
      </c>
      <c r="AC44" s="45"/>
      <c r="AD44" s="45"/>
      <c r="AE44" s="117"/>
      <c r="AF44" s="5"/>
    </row>
    <row r="45" spans="1:33" ht="13.5" thickBot="1">
      <c r="A45" s="104"/>
      <c r="B45" s="63" t="s">
        <v>90</v>
      </c>
      <c r="C45" s="63"/>
      <c r="D45" s="63"/>
      <c r="E45" s="63" t="s">
        <v>91</v>
      </c>
      <c r="F45" s="63"/>
      <c r="G45" s="63"/>
      <c r="H45" s="63"/>
      <c r="I45" s="46"/>
      <c r="J45" s="46"/>
      <c r="K45" s="44"/>
      <c r="L45" s="52" t="s">
        <v>92</v>
      </c>
      <c r="M45" s="50" t="s">
        <v>93</v>
      </c>
      <c r="N45" s="50" t="s">
        <v>94</v>
      </c>
      <c r="O45" s="50" t="s">
        <v>95</v>
      </c>
      <c r="P45" s="50" t="s">
        <v>96</v>
      </c>
      <c r="Q45" s="50" t="s">
        <v>97</v>
      </c>
      <c r="R45" s="128" t="s">
        <v>82</v>
      </c>
      <c r="S45" s="50" t="s">
        <v>98</v>
      </c>
      <c r="T45" s="50" t="s">
        <v>99</v>
      </c>
      <c r="U45" s="44"/>
      <c r="V45" s="46"/>
      <c r="W45" s="46" t="s">
        <v>100</v>
      </c>
      <c r="X45" s="46" t="s">
        <v>101</v>
      </c>
      <c r="Y45" s="46" t="s">
        <v>102</v>
      </c>
      <c r="Z45" s="46" t="s">
        <v>103</v>
      </c>
      <c r="AA45" s="46" t="s">
        <v>104</v>
      </c>
      <c r="AB45" s="46" t="s">
        <v>105</v>
      </c>
      <c r="AC45" s="46" t="s">
        <v>106</v>
      </c>
      <c r="AD45" s="116"/>
      <c r="AE45" s="118"/>
      <c r="AF45" s="5"/>
    </row>
    <row r="46" spans="1:33" ht="14.25" thickTop="1" thickBot="1">
      <c r="A46" s="104" t="s">
        <v>107</v>
      </c>
      <c r="B46" s="63"/>
      <c r="C46" s="63"/>
      <c r="D46" s="65">
        <v>1</v>
      </c>
      <c r="E46" s="65">
        <v>22</v>
      </c>
      <c r="F46" s="64" t="str">
        <f t="shared" ref="F46:F51" si="2">$L$27</f>
        <v>m3/d</v>
      </c>
      <c r="G46" s="63"/>
      <c r="H46" s="65">
        <v>54</v>
      </c>
      <c r="I46" s="44" t="str">
        <f>IF(A25,"000,000 ","000 ")&amp;$L$33</f>
        <v>000 m3</v>
      </c>
      <c r="J46" s="46"/>
      <c r="K46" s="44"/>
      <c r="L46" s="52" t="s">
        <v>108</v>
      </c>
      <c r="M46" s="50" t="s">
        <v>109</v>
      </c>
      <c r="N46" s="50" t="str">
        <f>$L$33</f>
        <v>m3</v>
      </c>
      <c r="O46" s="50" t="s">
        <v>110</v>
      </c>
      <c r="P46" s="50"/>
      <c r="Q46" s="50"/>
      <c r="R46" s="50"/>
      <c r="S46" s="50"/>
      <c r="T46" s="50"/>
      <c r="U46" s="44"/>
      <c r="V46" s="46"/>
      <c r="W46" s="46" t="s">
        <v>111</v>
      </c>
      <c r="X46" s="46"/>
      <c r="Y46" s="46"/>
      <c r="Z46" s="46"/>
      <c r="AA46" s="46"/>
      <c r="AB46" s="46"/>
      <c r="AC46" s="46"/>
      <c r="AD46" s="46" t="s">
        <v>112</v>
      </c>
      <c r="AE46" s="118"/>
      <c r="AF46" s="5"/>
    </row>
    <row r="47" spans="1:33" ht="14.25" thickTop="1" thickBot="1">
      <c r="A47" s="104" t="s">
        <v>113</v>
      </c>
      <c r="B47" s="63"/>
      <c r="C47" s="63"/>
      <c r="D47" s="65">
        <v>0</v>
      </c>
      <c r="E47" s="65">
        <v>30</v>
      </c>
      <c r="F47" s="64" t="str">
        <f t="shared" si="2"/>
        <v>m3/d</v>
      </c>
      <c r="G47" s="63"/>
      <c r="H47" s="65">
        <v>39</v>
      </c>
      <c r="I47" s="44" t="str">
        <f>$I$46</f>
        <v>000 m3</v>
      </c>
      <c r="J47" s="46"/>
      <c r="K47" s="44"/>
      <c r="L47" s="52"/>
      <c r="M47" s="50"/>
      <c r="N47" s="50" t="s">
        <v>114</v>
      </c>
      <c r="O47" s="50" t="s">
        <v>115</v>
      </c>
      <c r="P47" s="50"/>
      <c r="Q47" s="50"/>
      <c r="R47" s="50"/>
      <c r="S47" s="50"/>
      <c r="T47" s="50"/>
      <c r="U47" s="44"/>
      <c r="V47" s="46"/>
      <c r="W47" s="46"/>
      <c r="X47" s="46"/>
      <c r="Y47" s="46"/>
      <c r="Z47" s="46"/>
      <c r="AA47" s="46"/>
      <c r="AB47" s="46"/>
      <c r="AC47" s="46"/>
      <c r="AD47" s="46"/>
      <c r="AE47" s="118"/>
      <c r="AF47" s="5"/>
    </row>
    <row r="48" spans="1:33" ht="14.25" thickTop="1" thickBot="1">
      <c r="A48" s="104" t="s">
        <v>116</v>
      </c>
      <c r="B48" s="63"/>
      <c r="C48" s="63"/>
      <c r="D48" s="65">
        <v>0</v>
      </c>
      <c r="E48" s="65">
        <v>12</v>
      </c>
      <c r="F48" s="64" t="str">
        <f t="shared" si="2"/>
        <v>m3/d</v>
      </c>
      <c r="G48" s="63"/>
      <c r="H48" s="65">
        <v>54</v>
      </c>
      <c r="I48" s="44" t="str">
        <f>$I$46</f>
        <v>000 m3</v>
      </c>
      <c r="J48" s="46"/>
      <c r="K48" s="44"/>
      <c r="L48" s="69"/>
      <c r="M48" s="62">
        <f ca="1">$E$78-0.51+L48</f>
        <v>2017.49</v>
      </c>
      <c r="N48" s="62"/>
      <c r="O48" s="62"/>
      <c r="P48" s="62"/>
      <c r="Q48" s="62"/>
      <c r="R48" s="62"/>
      <c r="S48" s="62">
        <f>-$I$72</f>
        <v>-2957.833435371369</v>
      </c>
      <c r="T48" s="62">
        <f>-$I$72</f>
        <v>-2957.833435371369</v>
      </c>
      <c r="U48" s="64">
        <f t="shared" ref="U48:U68" si="3">-$T$48</f>
        <v>2957.833435371369</v>
      </c>
      <c r="V48" s="63"/>
      <c r="W48" s="63"/>
      <c r="X48" s="63"/>
      <c r="Y48" s="63"/>
      <c r="Z48" s="63"/>
      <c r="AA48" s="63"/>
      <c r="AB48" s="63"/>
      <c r="AC48" s="63"/>
      <c r="AD48" s="63"/>
      <c r="AE48" s="118"/>
      <c r="AF48" s="71"/>
      <c r="AG48" s="72"/>
    </row>
    <row r="49" spans="1:33" ht="14.25" thickTop="1" thickBot="1">
      <c r="A49" s="104" t="s">
        <v>117</v>
      </c>
      <c r="B49" s="63"/>
      <c r="C49" s="63"/>
      <c r="D49" s="65">
        <v>0</v>
      </c>
      <c r="E49" s="65">
        <f>H49*9*12/365</f>
        <v>15.978082191780821</v>
      </c>
      <c r="F49" s="64" t="str">
        <f t="shared" si="2"/>
        <v>m3/d</v>
      </c>
      <c r="G49" s="63"/>
      <c r="H49" s="65">
        <v>54</v>
      </c>
      <c r="I49" s="44" t="str">
        <f>$I$46</f>
        <v>000 m3</v>
      </c>
      <c r="J49" s="46"/>
      <c r="K49" s="44"/>
      <c r="L49" s="64">
        <v>1</v>
      </c>
      <c r="M49" s="63">
        <f ca="1">$E$78-0.51+L49</f>
        <v>2018.49</v>
      </c>
      <c r="N49" s="75">
        <f>IF(R49&gt;0,W49,0)/1000</f>
        <v>7.0762114275764398</v>
      </c>
      <c r="O49" s="63">
        <f t="shared" ref="O49:O68" si="4">IF(R49&gt;0,AA49,0)</f>
        <v>3063.5439751291015</v>
      </c>
      <c r="P49" s="63">
        <f t="shared" ref="P49:P68" si="5">IF(R49&gt;0,AB49,0)</f>
        <v>229.78741475445855</v>
      </c>
      <c r="Q49" s="63">
        <f t="shared" ref="Q49:Q68" si="6">IF(R49&gt;0,AC49,0)</f>
        <v>1872.1657625788953</v>
      </c>
      <c r="R49" s="63">
        <f t="shared" ref="R49:R68" si="7">MAX(0,+AA49-AB49-AC49)</f>
        <v>961.59079779574768</v>
      </c>
      <c r="S49" s="63">
        <f t="shared" ref="S49:S68" si="8">R49*(1+$I$69)^(-$L49+0.5)</f>
        <v>896.68804250417406</v>
      </c>
      <c r="T49" s="63">
        <f>IF(S49&gt;0,+T48+S49,0)</f>
        <v>-2061.1453928671949</v>
      </c>
      <c r="U49" s="64">
        <f t="shared" si="3"/>
        <v>2957.833435371369</v>
      </c>
      <c r="V49" s="63">
        <f t="shared" ref="V49:V68" si="9">$A$60*365*IF($L49&lt;$I$60,1,EXP($E$66*($L49-$I$60)))</f>
        <v>7076.2114275764397</v>
      </c>
      <c r="W49" s="63">
        <f t="shared" ref="W49:W68" si="10">IF(V49&lt;365*0.99*$A$63,0,$V49)</f>
        <v>7076.2114275764397</v>
      </c>
      <c r="X49" s="63">
        <f>IF(W49=0,0,IF(A$25,0.22,1.5799941*IF(W49/12&lt;190.7,W49*W49/1271.28/144,28.6+0.25*(W49/12-190.7))*12/W49))</f>
        <v>0.34388916327564772</v>
      </c>
      <c r="Y49" s="63">
        <f>IF(W49=0,0,IF(A$25=0,IF(W49&lt;200,$X$69*(1-23.08/(W49/12))/100,$Y$69*(1-23.08/(W49/12))/100),IF(W49&lt;115400/12,0.01*$Z$69/230.76*(W49/12)/1000,0.01*$Z$69*(1-57.69/((W49/12)/1000)))))</f>
        <v>0</v>
      </c>
      <c r="Z49" s="63">
        <f>IF(A$25,0.22,IF(W49/12&lt;159,W49/12000,(23.9+0.3*(W49/12-159))/(W49/12)))</f>
        <v>0.25963941963534343</v>
      </c>
      <c r="AA49" s="63">
        <f>(1-IF($A$75&gt;2,Z49,IF($A$75&gt;1,Y49,IF($A$75&gt;0.5,X49,$A$75)))-$E$75)*W49*$I$78*((1+$A$69)^($L49-0.5))/1000</f>
        <v>3063.5439751291015</v>
      </c>
      <c r="AB49" s="63">
        <f>IF(W49&gt;0,+$E$72*12*(1+$E$69)^($L49-0.5)/1000,0)</f>
        <v>229.78741475445855</v>
      </c>
      <c r="AC49" s="63">
        <f t="shared" ref="AC49:AC68" si="11">W49*$A$72*(1+$E$69)^($L49-0.5)/1000</f>
        <v>1872.1657625788953</v>
      </c>
      <c r="AD49" s="63">
        <f>IF(T49&lt;0,1,0)</f>
        <v>1</v>
      </c>
      <c r="AE49" s="118"/>
      <c r="AF49" s="71"/>
      <c r="AG49" s="72"/>
    </row>
    <row r="50" spans="1:33" ht="14.25" thickTop="1" thickBot="1">
      <c r="A50" s="104" t="s">
        <v>118</v>
      </c>
      <c r="B50" s="63"/>
      <c r="C50" s="63"/>
      <c r="D50" s="65">
        <v>0</v>
      </c>
      <c r="E50" s="65">
        <v>18</v>
      </c>
      <c r="F50" s="64" t="str">
        <f t="shared" si="2"/>
        <v>m3/d</v>
      </c>
      <c r="G50" s="63"/>
      <c r="H50" s="65">
        <v>54</v>
      </c>
      <c r="I50" s="44" t="str">
        <f>$I$46</f>
        <v>000 m3</v>
      </c>
      <c r="J50" s="46"/>
      <c r="K50" s="44"/>
      <c r="L50" s="64">
        <v>2</v>
      </c>
      <c r="M50" s="63">
        <f t="shared" ref="M50:M68" ca="1" si="12">$E$78-0.51+L50</f>
        <v>2019.49</v>
      </c>
      <c r="N50" s="75">
        <f t="shared" ref="N50:N62" si="13">IF(R50&gt;0,W50,0)/1000</f>
        <v>6.2357121005932008</v>
      </c>
      <c r="O50" s="63">
        <f>IF(R50&gt;0,AA50,0)</f>
        <v>2807.648353813096</v>
      </c>
      <c r="P50" s="63">
        <f>IF(R50&gt;0,AB50,0)</f>
        <v>238.97891134463694</v>
      </c>
      <c r="Q50" s="63">
        <f>IF(R50&gt;0,AC50,0)</f>
        <v>1715.7851051080033</v>
      </c>
      <c r="R50" s="63">
        <f>MAX(0,+AA50-AB50-AC50)</f>
        <v>852.8843373604559</v>
      </c>
      <c r="S50" s="63">
        <f>R50*(1+$I$69)^(-$L50+0.5)</f>
        <v>691.58151779259049</v>
      </c>
      <c r="T50" s="63">
        <f t="shared" ref="T50:T60" si="14">IF(S50&gt;0,+T49+S50,0)</f>
        <v>-1369.5638750746043</v>
      </c>
      <c r="U50" s="64">
        <f>-$T$48</f>
        <v>2957.833435371369</v>
      </c>
      <c r="V50" s="63">
        <f>$A$60*365*IF($L50&lt;$I$60,1,EXP($E$66*($L50-$I$60)))</f>
        <v>6235.7121005932004</v>
      </c>
      <c r="W50" s="63">
        <f t="shared" si="10"/>
        <v>6235.7121005932004</v>
      </c>
      <c r="X50" s="63">
        <f t="shared" ref="X50:X70" si="15">IF(W50=0,0,IF(A$25,0.22,1.5799941*IF(W50/12&lt;190.7,W50*W50/1271.28/144,28.6+0.25*(W50/12-190.7))*12/W50))</f>
        <v>0.33700023328034295</v>
      </c>
      <c r="Y50" s="63">
        <f t="shared" ref="Y50:Y70" si="16">IF(W50=0,0,IF(A$25=0,IF(W50&lt;200,$X$69*(1-23.08/(W50/12))/100,$Y$69*(1-23.08/(W50/12))/100),IF(W50&lt;115400/12,0.01*$Z$69/230.76*(W50/12)/1000,0.01*$Z$69*(1-57.69/((W50/12)/1000)))))</f>
        <v>0</v>
      </c>
      <c r="Z50" s="63">
        <f t="shared" ref="Z50:Z70" si="17">IF(A$25,0.22,IF(W50/12&lt;159,W50/12000,(23.9+0.3*(W50/12-159))/(W50/12)))</f>
        <v>0.25419929666527885</v>
      </c>
      <c r="AA50" s="63">
        <f>(1-IF($A$75&gt;2,Z50,IF($A$75&gt;1,Y50,IF($A$75&gt;0.5,X50,$A$75)))-$E$75)*W50*$I$78*((1+$A$69)^($L50-0.5))/1000</f>
        <v>2807.648353813096</v>
      </c>
      <c r="AB50" s="63">
        <f>IF(W50&gt;0,+$E$72*12*(1+$E$69)^($L50-0.5)/1000,0)</f>
        <v>238.97891134463694</v>
      </c>
      <c r="AC50" s="63">
        <f t="shared" si="11"/>
        <v>1715.7851051080033</v>
      </c>
      <c r="AD50" s="63">
        <f t="shared" ref="AD50:AD68" si="18">IF(T50&lt;0,1,0)</f>
        <v>1</v>
      </c>
      <c r="AE50" s="118"/>
      <c r="AF50" s="71"/>
      <c r="AG50" s="72"/>
    </row>
    <row r="51" spans="1:33" ht="14.25" thickTop="1" thickBot="1">
      <c r="A51" s="104" t="s">
        <v>119</v>
      </c>
      <c r="B51" s="63"/>
      <c r="C51" s="63"/>
      <c r="D51" s="65">
        <v>0</v>
      </c>
      <c r="E51" s="65">
        <v>26</v>
      </c>
      <c r="F51" s="64" t="str">
        <f t="shared" si="2"/>
        <v>m3/d</v>
      </c>
      <c r="G51" s="63"/>
      <c r="H51" s="65">
        <v>54</v>
      </c>
      <c r="I51" s="44" t="str">
        <f>$I$46</f>
        <v>000 m3</v>
      </c>
      <c r="J51" s="46"/>
      <c r="K51" s="44"/>
      <c r="L51" s="64">
        <v>3</v>
      </c>
      <c r="M51" s="63">
        <f t="shared" ca="1" si="12"/>
        <v>2020.49</v>
      </c>
      <c r="N51" s="75">
        <f t="shared" si="13"/>
        <v>5.4950457316680312</v>
      </c>
      <c r="O51" s="63">
        <f t="shared" si="4"/>
        <v>2573.1275094026332</v>
      </c>
      <c r="P51" s="63">
        <f t="shared" si="5"/>
        <v>248.53806779842242</v>
      </c>
      <c r="Q51" s="63">
        <f t="shared" si="6"/>
        <v>1572.4668113016096</v>
      </c>
      <c r="R51" s="63">
        <f t="shared" si="7"/>
        <v>752.12263030260101</v>
      </c>
      <c r="S51" s="63">
        <f t="shared" si="8"/>
        <v>530.32738687601318</v>
      </c>
      <c r="T51" s="63">
        <f t="shared" si="14"/>
        <v>-839.23648819859113</v>
      </c>
      <c r="U51" s="64">
        <f t="shared" si="3"/>
        <v>2957.833435371369</v>
      </c>
      <c r="V51" s="63">
        <f t="shared" si="9"/>
        <v>5495.0457316680313</v>
      </c>
      <c r="W51" s="63">
        <f t="shared" si="10"/>
        <v>5495.0457316680313</v>
      </c>
      <c r="X51" s="63">
        <f t="shared" si="15"/>
        <v>0.32918275800724434</v>
      </c>
      <c r="Y51" s="63">
        <f t="shared" si="16"/>
        <v>0</v>
      </c>
      <c r="Z51" s="63">
        <f t="shared" si="17"/>
        <v>0.24802591025692783</v>
      </c>
      <c r="AA51" s="63">
        <f t="shared" ref="AA51:AA70" si="19">(1-IF($A$75&gt;2,Z51,IF($A$75&gt;1,Y51,IF($A$75&gt;0.5,X51,$A$75)))-$E$75)*W51*$I$78*((1+$A$69)^($L51-0.5))/1000</f>
        <v>2573.1275094026332</v>
      </c>
      <c r="AB51" s="63">
        <f t="shared" ref="AB51:AB68" si="20">IF(W51&gt;0,+$E$72*12*(1+$E$69)^($L51-0.5)/1000,0)</f>
        <v>248.53806779842242</v>
      </c>
      <c r="AC51" s="63">
        <f t="shared" si="11"/>
        <v>1572.4668113016096</v>
      </c>
      <c r="AD51" s="63">
        <f t="shared" si="18"/>
        <v>1</v>
      </c>
      <c r="AE51" s="118"/>
      <c r="AF51" s="71"/>
      <c r="AG51" s="72"/>
    </row>
    <row r="52" spans="1:33" ht="14.25" thickTop="1" thickBot="1">
      <c r="A52" s="104"/>
      <c r="B52" s="63"/>
      <c r="C52" s="63"/>
      <c r="D52" s="62"/>
      <c r="E52" s="62"/>
      <c r="F52" s="63"/>
      <c r="G52" s="63"/>
      <c r="H52" s="62"/>
      <c r="I52" s="46"/>
      <c r="J52" s="46"/>
      <c r="K52" s="44"/>
      <c r="L52" s="64">
        <v>4</v>
      </c>
      <c r="M52" s="63">
        <f t="shared" ca="1" si="12"/>
        <v>2021.49</v>
      </c>
      <c r="N52" s="75">
        <f t="shared" si="13"/>
        <v>4.8423543463866077</v>
      </c>
      <c r="O52" s="63">
        <f t="shared" si="4"/>
        <v>2358.1960221808299</v>
      </c>
      <c r="P52" s="63">
        <f t="shared" si="5"/>
        <v>258.47959051035929</v>
      </c>
      <c r="Q52" s="63">
        <f t="shared" si="6"/>
        <v>1441.1197913327298</v>
      </c>
      <c r="R52" s="63">
        <f t="shared" si="7"/>
        <v>658.59664033774084</v>
      </c>
      <c r="S52" s="63">
        <f t="shared" si="8"/>
        <v>403.81000003672887</v>
      </c>
      <c r="T52" s="63">
        <f t="shared" si="14"/>
        <v>-435.42648816186227</v>
      </c>
      <c r="U52" s="64">
        <f t="shared" si="3"/>
        <v>2957.833435371369</v>
      </c>
      <c r="V52" s="63">
        <f t="shared" si="9"/>
        <v>4842.3543463866081</v>
      </c>
      <c r="W52" s="63">
        <f t="shared" si="10"/>
        <v>4842.3543463866081</v>
      </c>
      <c r="X52" s="63">
        <f t="shared" si="15"/>
        <v>0.32031158067097276</v>
      </c>
      <c r="Y52" s="63">
        <f t="shared" si="16"/>
        <v>0</v>
      </c>
      <c r="Z52" s="63">
        <f t="shared" si="17"/>
        <v>0.24102042527864234</v>
      </c>
      <c r="AA52" s="63">
        <f t="shared" si="19"/>
        <v>2358.1960221808299</v>
      </c>
      <c r="AB52" s="63">
        <f t="shared" si="20"/>
        <v>258.47959051035929</v>
      </c>
      <c r="AC52" s="63">
        <f t="shared" si="11"/>
        <v>1441.1197913327298</v>
      </c>
      <c r="AD52" s="63">
        <f t="shared" si="18"/>
        <v>1</v>
      </c>
      <c r="AE52" s="118"/>
      <c r="AF52" s="71"/>
      <c r="AG52" s="72"/>
    </row>
    <row r="53" spans="1:33" ht="14.25" thickTop="1" thickBot="1">
      <c r="A53" s="104" t="s">
        <v>120</v>
      </c>
      <c r="B53" s="63"/>
      <c r="C53" s="70">
        <v>4.5</v>
      </c>
      <c r="D53" s="73" t="s">
        <v>167</v>
      </c>
      <c r="E53" s="63"/>
      <c r="F53" s="63"/>
      <c r="G53" s="63"/>
      <c r="H53" s="63"/>
      <c r="I53" s="46"/>
      <c r="J53" s="46"/>
      <c r="K53" s="44"/>
      <c r="L53" s="64">
        <v>5</v>
      </c>
      <c r="M53" s="63">
        <f t="shared" ca="1" si="12"/>
        <v>2022.49</v>
      </c>
      <c r="N53" s="75">
        <f t="shared" si="13"/>
        <v>4.2671884386395211</v>
      </c>
      <c r="O53" s="63">
        <f t="shared" si="4"/>
        <v>2161.2176072535672</v>
      </c>
      <c r="P53" s="63">
        <f t="shared" si="5"/>
        <v>268.81877413077365</v>
      </c>
      <c r="Q53" s="63">
        <f t="shared" si="6"/>
        <v>1320.7440933216244</v>
      </c>
      <c r="R53" s="63">
        <f t="shared" si="7"/>
        <v>571.65473980116917</v>
      </c>
      <c r="S53" s="63">
        <f t="shared" si="8"/>
        <v>304.78495632474494</v>
      </c>
      <c r="T53" s="63">
        <f t="shared" si="14"/>
        <v>-130.64153183711733</v>
      </c>
      <c r="U53" s="64">
        <f t="shared" si="3"/>
        <v>2957.833435371369</v>
      </c>
      <c r="V53" s="63">
        <f t="shared" si="9"/>
        <v>4267.1884386395213</v>
      </c>
      <c r="W53" s="63">
        <f t="shared" si="10"/>
        <v>4267.1884386395213</v>
      </c>
      <c r="X53" s="63">
        <f t="shared" si="15"/>
        <v>0.31024467485006246</v>
      </c>
      <c r="Y53" s="63">
        <f t="shared" si="16"/>
        <v>0</v>
      </c>
      <c r="Z53" s="63">
        <f t="shared" si="17"/>
        <v>0.23307068480644463</v>
      </c>
      <c r="AA53" s="63">
        <f t="shared" si="19"/>
        <v>2161.2176072535672</v>
      </c>
      <c r="AB53" s="63">
        <f t="shared" si="20"/>
        <v>268.81877413077365</v>
      </c>
      <c r="AC53" s="63">
        <f t="shared" si="11"/>
        <v>1320.7440933216244</v>
      </c>
      <c r="AD53" s="63">
        <f t="shared" si="18"/>
        <v>1</v>
      </c>
      <c r="AE53" s="118"/>
      <c r="AF53" s="71"/>
      <c r="AG53" s="72"/>
    </row>
    <row r="54" spans="1:33" ht="14.25" thickTop="1" thickBot="1">
      <c r="A54" s="104" t="s">
        <v>121</v>
      </c>
      <c r="B54" s="63"/>
      <c r="C54" s="65">
        <v>1</v>
      </c>
      <c r="D54" s="73" t="s">
        <v>166</v>
      </c>
      <c r="E54" s="63"/>
      <c r="F54" s="63"/>
      <c r="G54" s="63"/>
      <c r="H54" s="63"/>
      <c r="I54" s="46"/>
      <c r="J54" s="46"/>
      <c r="K54" s="44"/>
      <c r="L54" s="64">
        <v>6</v>
      </c>
      <c r="M54" s="63">
        <f t="shared" ca="1" si="12"/>
        <v>2023.49</v>
      </c>
      <c r="N54" s="75">
        <f t="shared" si="13"/>
        <v>3.7603396753577893</v>
      </c>
      <c r="O54" s="63">
        <f t="shared" si="4"/>
        <v>1980.6926574251793</v>
      </c>
      <c r="P54" s="63">
        <f t="shared" si="5"/>
        <v>279.57152509600468</v>
      </c>
      <c r="Q54" s="63">
        <f t="shared" si="6"/>
        <v>1210.4232906487207</v>
      </c>
      <c r="R54" s="63">
        <f t="shared" si="7"/>
        <v>490.69784168045385</v>
      </c>
      <c r="S54" s="63">
        <f t="shared" si="8"/>
        <v>227.4971842912251</v>
      </c>
      <c r="T54" s="63">
        <f t="shared" si="14"/>
        <v>96.855652454107769</v>
      </c>
      <c r="U54" s="64">
        <f t="shared" si="3"/>
        <v>2957.833435371369</v>
      </c>
      <c r="V54" s="63">
        <f t="shared" si="9"/>
        <v>3760.3396753577895</v>
      </c>
      <c r="W54" s="63">
        <f t="shared" si="10"/>
        <v>3760.3396753577895</v>
      </c>
      <c r="X54" s="63">
        <f t="shared" si="15"/>
        <v>0.29882087066200763</v>
      </c>
      <c r="Y54" s="63">
        <f t="shared" si="16"/>
        <v>0</v>
      </c>
      <c r="Z54" s="63">
        <f t="shared" si="17"/>
        <v>0.22404941450593138</v>
      </c>
      <c r="AA54" s="63">
        <f t="shared" si="19"/>
        <v>1980.6926574251793</v>
      </c>
      <c r="AB54" s="63">
        <f t="shared" si="20"/>
        <v>279.57152509600468</v>
      </c>
      <c r="AC54" s="63">
        <f t="shared" si="11"/>
        <v>1210.4232906487207</v>
      </c>
      <c r="AD54" s="63">
        <f t="shared" si="18"/>
        <v>0</v>
      </c>
      <c r="AE54" s="118"/>
      <c r="AF54" s="71"/>
      <c r="AG54" s="72"/>
    </row>
    <row r="55" spans="1:33" ht="13.5" thickTop="1">
      <c r="A55" s="104"/>
      <c r="B55" s="63"/>
      <c r="C55" s="62"/>
      <c r="D55" s="63"/>
      <c r="E55" s="63"/>
      <c r="F55" s="63"/>
      <c r="G55" s="63"/>
      <c r="H55" s="63"/>
      <c r="I55" s="46"/>
      <c r="J55" s="46"/>
      <c r="K55" s="44"/>
      <c r="L55" s="64">
        <v>7</v>
      </c>
      <c r="M55" s="63">
        <f t="shared" ca="1" si="12"/>
        <v>2024.49</v>
      </c>
      <c r="N55" s="75">
        <f t="shared" si="13"/>
        <v>3.3136934722709679</v>
      </c>
      <c r="O55" s="63">
        <f t="shared" si="4"/>
        <v>1815.2468266087617</v>
      </c>
      <c r="P55" s="63">
        <f t="shared" si="5"/>
        <v>290.75438609984479</v>
      </c>
      <c r="Q55" s="63">
        <f t="shared" si="6"/>
        <v>1109.3175051497988</v>
      </c>
      <c r="R55" s="63">
        <f t="shared" si="7"/>
        <v>415.17493535911808</v>
      </c>
      <c r="S55" s="63">
        <f t="shared" si="8"/>
        <v>167.37676296136075</v>
      </c>
      <c r="T55" s="63">
        <f t="shared" si="14"/>
        <v>264.23241541546849</v>
      </c>
      <c r="U55" s="64">
        <f t="shared" si="3"/>
        <v>2957.833435371369</v>
      </c>
      <c r="V55" s="63">
        <f t="shared" si="9"/>
        <v>3313.693472270968</v>
      </c>
      <c r="W55" s="63">
        <f t="shared" si="10"/>
        <v>3313.693472270968</v>
      </c>
      <c r="X55" s="63">
        <f t="shared" si="15"/>
        <v>0.28585727445393072</v>
      </c>
      <c r="Y55" s="63">
        <f t="shared" si="16"/>
        <v>0</v>
      </c>
      <c r="Z55" s="63">
        <f t="shared" si="17"/>
        <v>0.21381218498635896</v>
      </c>
      <c r="AA55" s="63">
        <f t="shared" si="19"/>
        <v>1815.2468266087617</v>
      </c>
      <c r="AB55" s="63">
        <f t="shared" si="20"/>
        <v>290.75438609984479</v>
      </c>
      <c r="AC55" s="63">
        <f t="shared" si="11"/>
        <v>1109.3175051497988</v>
      </c>
      <c r="AD55" s="63">
        <f t="shared" si="18"/>
        <v>0</v>
      </c>
      <c r="AE55" s="118"/>
      <c r="AF55" s="71"/>
      <c r="AG55" s="72"/>
    </row>
    <row r="56" spans="1:33" ht="13.5" thickBot="1">
      <c r="A56" s="104" t="s">
        <v>122</v>
      </c>
      <c r="B56" s="63"/>
      <c r="C56" s="63"/>
      <c r="D56" s="63"/>
      <c r="E56" s="63" t="s">
        <v>123</v>
      </c>
      <c r="F56" s="63"/>
      <c r="G56" s="63"/>
      <c r="H56" s="63"/>
      <c r="I56" s="46" t="s">
        <v>124</v>
      </c>
      <c r="J56" s="46"/>
      <c r="K56" s="44"/>
      <c r="L56" s="64">
        <v>8</v>
      </c>
      <c r="M56" s="63">
        <f t="shared" ca="1" si="12"/>
        <v>2025.49</v>
      </c>
      <c r="N56" s="75">
        <f t="shared" si="13"/>
        <v>2.9200990804444924</v>
      </c>
      <c r="O56" s="63">
        <f t="shared" si="4"/>
        <v>1663.6205668559919</v>
      </c>
      <c r="P56" s="63">
        <f t="shared" si="5"/>
        <v>302.38456154383863</v>
      </c>
      <c r="Q56" s="63">
        <f t="shared" si="6"/>
        <v>1016.6570130786619</v>
      </c>
      <c r="R56" s="63">
        <f t="shared" si="7"/>
        <v>344.57899223349148</v>
      </c>
      <c r="S56" s="63">
        <f t="shared" si="8"/>
        <v>120.79667879012591</v>
      </c>
      <c r="T56" s="63">
        <f t="shared" si="14"/>
        <v>385.02909420559439</v>
      </c>
      <c r="U56" s="64">
        <f t="shared" si="3"/>
        <v>2957.833435371369</v>
      </c>
      <c r="V56" s="63">
        <f t="shared" si="9"/>
        <v>2920.0990804444923</v>
      </c>
      <c r="W56" s="63">
        <f t="shared" si="10"/>
        <v>2920.0990804444923</v>
      </c>
      <c r="X56" s="63">
        <f t="shared" si="15"/>
        <v>0.27114634069844934</v>
      </c>
      <c r="Y56" s="63">
        <f t="shared" si="16"/>
        <v>0</v>
      </c>
      <c r="Z56" s="63">
        <f t="shared" si="17"/>
        <v>0.20219509950445708</v>
      </c>
      <c r="AA56" s="63">
        <f t="shared" si="19"/>
        <v>1663.6205668559919</v>
      </c>
      <c r="AB56" s="63">
        <f t="shared" si="20"/>
        <v>302.38456154383863</v>
      </c>
      <c r="AC56" s="63">
        <f t="shared" si="11"/>
        <v>1016.6570130786619</v>
      </c>
      <c r="AD56" s="63">
        <f t="shared" si="18"/>
        <v>0</v>
      </c>
      <c r="AE56" s="118"/>
      <c r="AF56" s="71"/>
      <c r="AG56" s="72"/>
    </row>
    <row r="57" spans="1:33" ht="14.25" thickTop="1" thickBot="1">
      <c r="A57" s="105">
        <f>IF($D$46,$E$46,IF($D$47,$E$47,IF($D$48,$E$48,IF($D$49,$E$49,IF($D$50,$E$50,IF($D$51,$E$51,NA()))))))</f>
        <v>22</v>
      </c>
      <c r="B57" s="66" t="str">
        <f>$L$27</f>
        <v>m3/d</v>
      </c>
      <c r="C57" s="63"/>
      <c r="D57" s="63"/>
      <c r="E57" s="67">
        <f>IF($D$46,$H$46,IF($D$47,$H$47,IF($D$48,$H$48,IF($D$49,$H$49,IF($D$50,$H$50,IF($D$51,$H$51,NA()))))))</f>
        <v>54</v>
      </c>
      <c r="F57" s="66" t="str">
        <f>$I$46</f>
        <v>000 m3</v>
      </c>
      <c r="G57" s="63"/>
      <c r="H57" s="63"/>
      <c r="I57" s="47">
        <f>$I$63+$I$60</f>
        <v>17.737855442618084</v>
      </c>
      <c r="J57" s="42" t="s">
        <v>125</v>
      </c>
      <c r="K57" s="44"/>
      <c r="L57" s="64">
        <v>9</v>
      </c>
      <c r="M57" s="63">
        <f t="shared" ca="1" si="12"/>
        <v>2026.49</v>
      </c>
      <c r="N57" s="75">
        <f t="shared" si="13"/>
        <v>2.5732551036982279</v>
      </c>
      <c r="O57" s="63">
        <f t="shared" si="4"/>
        <v>1524.6595393513164</v>
      </c>
      <c r="P57" s="63">
        <f t="shared" si="5"/>
        <v>314.47994400559219</v>
      </c>
      <c r="Q57" s="63">
        <f t="shared" si="6"/>
        <v>931.73638515913763</v>
      </c>
      <c r="R57" s="63">
        <f>MAX(0,+AA57-AB57-AC57)</f>
        <v>278.44321018658661</v>
      </c>
      <c r="S57" s="63">
        <f t="shared" si="8"/>
        <v>84.879925384194436</v>
      </c>
      <c r="T57" s="63">
        <f t="shared" si="14"/>
        <v>469.90901958978884</v>
      </c>
      <c r="U57" s="64">
        <f t="shared" si="3"/>
        <v>2957.833435371369</v>
      </c>
      <c r="V57" s="63">
        <f t="shared" si="9"/>
        <v>2573.2551036982277</v>
      </c>
      <c r="W57" s="63">
        <f t="shared" si="10"/>
        <v>2573.2551036982277</v>
      </c>
      <c r="X57" s="63">
        <f t="shared" si="15"/>
        <v>0.25445254921616539</v>
      </c>
      <c r="Y57" s="63">
        <f t="shared" si="16"/>
        <v>0</v>
      </c>
      <c r="Z57" s="63">
        <f t="shared" si="17"/>
        <v>0.18901216999840328</v>
      </c>
      <c r="AA57" s="63">
        <f t="shared" si="19"/>
        <v>1524.6595393513164</v>
      </c>
      <c r="AB57" s="63">
        <f t="shared" si="20"/>
        <v>314.47994400559219</v>
      </c>
      <c r="AC57" s="63">
        <f t="shared" si="11"/>
        <v>931.73638515913763</v>
      </c>
      <c r="AD57" s="63">
        <f t="shared" si="18"/>
        <v>0</v>
      </c>
      <c r="AE57" s="118"/>
      <c r="AF57" s="71"/>
      <c r="AG57" s="72"/>
    </row>
    <row r="58" spans="1:33" ht="13.5" thickTop="1">
      <c r="A58" s="105"/>
      <c r="B58" s="63"/>
      <c r="C58" s="63"/>
      <c r="D58" s="63"/>
      <c r="E58" s="68"/>
      <c r="F58" s="63"/>
      <c r="G58" s="63"/>
      <c r="H58" s="63"/>
      <c r="I58" s="48"/>
      <c r="J58" s="46"/>
      <c r="K58" s="44"/>
      <c r="L58" s="64">
        <v>10</v>
      </c>
      <c r="M58" s="63">
        <f t="shared" ca="1" si="12"/>
        <v>2027.49</v>
      </c>
      <c r="N58" s="75">
        <f t="shared" si="13"/>
        <v>2.267608614054645</v>
      </c>
      <c r="O58" s="63">
        <f t="shared" si="4"/>
        <v>1397.3058263688747</v>
      </c>
      <c r="P58" s="63">
        <f t="shared" si="5"/>
        <v>327.05914176581592</v>
      </c>
      <c r="Q58" s="63">
        <f t="shared" si="6"/>
        <v>853.90911611431238</v>
      </c>
      <c r="R58" s="63">
        <f>MAX(0,+AA58-AB58-AC58)</f>
        <v>216.33756848874646</v>
      </c>
      <c r="S58" s="63">
        <f t="shared" si="8"/>
        <v>57.345911589368235</v>
      </c>
      <c r="T58" s="63">
        <f t="shared" si="14"/>
        <v>527.2549311791571</v>
      </c>
      <c r="U58" s="64">
        <f t="shared" si="3"/>
        <v>2957.833435371369</v>
      </c>
      <c r="V58" s="63">
        <f t="shared" si="9"/>
        <v>2267.6086140546449</v>
      </c>
      <c r="W58" s="63">
        <f t="shared" si="10"/>
        <v>2267.6086140546449</v>
      </c>
      <c r="X58" s="63">
        <f t="shared" si="15"/>
        <v>0.23485569867348369</v>
      </c>
      <c r="Y58" s="63">
        <f t="shared" si="16"/>
        <v>0</v>
      </c>
      <c r="Z58" s="63">
        <f t="shared" si="17"/>
        <v>0.17405233944259585</v>
      </c>
      <c r="AA58" s="63">
        <f t="shared" si="19"/>
        <v>1397.3058263688747</v>
      </c>
      <c r="AB58" s="63">
        <f t="shared" si="20"/>
        <v>327.05914176581592</v>
      </c>
      <c r="AC58" s="63">
        <f t="shared" si="11"/>
        <v>853.90911611431238</v>
      </c>
      <c r="AD58" s="63">
        <f t="shared" si="18"/>
        <v>0</v>
      </c>
      <c r="AE58" s="118"/>
      <c r="AF58" s="71"/>
      <c r="AG58" s="72"/>
    </row>
    <row r="59" spans="1:33" ht="13.5" thickBot="1">
      <c r="A59" s="104" t="s">
        <v>126</v>
      </c>
      <c r="B59" s="63"/>
      <c r="C59" s="63"/>
      <c r="D59" s="63"/>
      <c r="E59" s="63" t="s">
        <v>127</v>
      </c>
      <c r="F59" s="63"/>
      <c r="G59" s="63"/>
      <c r="H59" s="63"/>
      <c r="I59" s="46" t="s">
        <v>128</v>
      </c>
      <c r="J59" s="46"/>
      <c r="K59" s="44"/>
      <c r="L59" s="64">
        <v>11</v>
      </c>
      <c r="M59" s="63">
        <f t="shared" ca="1" si="12"/>
        <v>2028.49</v>
      </c>
      <c r="N59" s="75">
        <f t="shared" si="13"/>
        <v>1.9982662500677775</v>
      </c>
      <c r="O59" s="63">
        <f t="shared" si="4"/>
        <v>1280.5898772883434</v>
      </c>
      <c r="P59" s="63">
        <f t="shared" si="5"/>
        <v>340.14150743644853</v>
      </c>
      <c r="Q59" s="63">
        <f t="shared" si="6"/>
        <v>782.58270278732107</v>
      </c>
      <c r="R59" s="63">
        <f t="shared" si="7"/>
        <v>157.8656670645737</v>
      </c>
      <c r="S59" s="63">
        <f t="shared" si="8"/>
        <v>36.3881825970332</v>
      </c>
      <c r="T59" s="63">
        <f t="shared" si="14"/>
        <v>563.64311377619026</v>
      </c>
      <c r="U59" s="64">
        <f t="shared" si="3"/>
        <v>2957.833435371369</v>
      </c>
      <c r="V59" s="63">
        <f t="shared" si="9"/>
        <v>1998.2662500677775</v>
      </c>
      <c r="W59" s="63">
        <f t="shared" si="10"/>
        <v>1998.2662500677775</v>
      </c>
      <c r="X59" s="63">
        <f t="shared" si="15"/>
        <v>0.20695997245140149</v>
      </c>
      <c r="Y59" s="63">
        <f t="shared" si="16"/>
        <v>0</v>
      </c>
      <c r="Z59" s="63">
        <f t="shared" si="17"/>
        <v>0.15707610285150292</v>
      </c>
      <c r="AA59" s="63">
        <f t="shared" si="19"/>
        <v>1280.5898772883434</v>
      </c>
      <c r="AB59" s="63">
        <f t="shared" si="20"/>
        <v>340.14150743644853</v>
      </c>
      <c r="AC59" s="63">
        <f t="shared" si="11"/>
        <v>782.58270278732107</v>
      </c>
      <c r="AD59" s="63">
        <f t="shared" si="18"/>
        <v>0</v>
      </c>
      <c r="AE59" s="118"/>
      <c r="AF59" s="71"/>
      <c r="AG59" s="72"/>
    </row>
    <row r="60" spans="1:33" ht="14.25" thickTop="1" thickBot="1">
      <c r="A60" s="106">
        <f>$A$57</f>
        <v>22</v>
      </c>
      <c r="B60" s="64" t="str">
        <f>$L$27</f>
        <v>m3/d</v>
      </c>
      <c r="C60" s="63"/>
      <c r="D60" s="63"/>
      <c r="E60" s="63">
        <f>$E$57-$E$63</f>
        <v>0</v>
      </c>
      <c r="F60" s="63" t="str">
        <f>$I$46</f>
        <v>000 m3</v>
      </c>
      <c r="G60" s="63"/>
      <c r="H60" s="63"/>
      <c r="I60" s="46">
        <f>$E$60/$A$60/365*IF(A25,1000000,1000)</f>
        <v>0</v>
      </c>
      <c r="J60" s="46" t="s">
        <v>125</v>
      </c>
      <c r="K60" s="44"/>
      <c r="L60" s="64">
        <v>12</v>
      </c>
      <c r="M60" s="63">
        <f t="shared" ca="1" si="12"/>
        <v>2029.49</v>
      </c>
      <c r="N60" s="75">
        <f t="shared" si="13"/>
        <v>1.760915874728509</v>
      </c>
      <c r="O60" s="63">
        <f t="shared" si="4"/>
        <v>1173.6231273542644</v>
      </c>
      <c r="P60" s="63">
        <f t="shared" si="5"/>
        <v>353.74716773390651</v>
      </c>
      <c r="Q60" s="63">
        <f t="shared" si="6"/>
        <v>717.21413338316188</v>
      </c>
      <c r="R60" s="63">
        <f t="shared" si="7"/>
        <v>102.66182623719601</v>
      </c>
      <c r="S60" s="63">
        <f t="shared" si="8"/>
        <v>20.577083576825967</v>
      </c>
      <c r="T60" s="63">
        <f t="shared" si="14"/>
        <v>584.22019735301626</v>
      </c>
      <c r="U60" s="64">
        <f t="shared" si="3"/>
        <v>2957.833435371369</v>
      </c>
      <c r="V60" s="63">
        <f t="shared" si="9"/>
        <v>1760.9158747285089</v>
      </c>
      <c r="W60" s="63">
        <f t="shared" si="10"/>
        <v>1760.9158747285089</v>
      </c>
      <c r="X60" s="63">
        <f t="shared" si="15"/>
        <v>0.18237764907988951</v>
      </c>
      <c r="Y60" s="63">
        <f t="shared" si="16"/>
        <v>0</v>
      </c>
      <c r="Z60" s="63">
        <f t="shared" si="17"/>
        <v>0.14674298956070908</v>
      </c>
      <c r="AA60" s="63">
        <f t="shared" si="19"/>
        <v>1173.6231273542644</v>
      </c>
      <c r="AB60" s="63">
        <f t="shared" si="20"/>
        <v>353.74716773390651</v>
      </c>
      <c r="AC60" s="63">
        <f t="shared" si="11"/>
        <v>717.21413338316188</v>
      </c>
      <c r="AD60" s="63">
        <f t="shared" si="18"/>
        <v>0</v>
      </c>
      <c r="AE60" s="118"/>
      <c r="AF60" s="71"/>
      <c r="AG60" s="72"/>
    </row>
    <row r="61" spans="1:33" ht="13.5" thickTop="1">
      <c r="A61" s="107"/>
      <c r="B61" s="63"/>
      <c r="C61" s="63"/>
      <c r="D61" s="63"/>
      <c r="E61" s="63"/>
      <c r="F61" s="63"/>
      <c r="G61" s="63"/>
      <c r="H61" s="63"/>
      <c r="I61" s="46"/>
      <c r="J61" s="46"/>
      <c r="K61" s="44"/>
      <c r="L61" s="64">
        <v>13</v>
      </c>
      <c r="M61" s="63">
        <f t="shared" ca="1" si="12"/>
        <v>2030.49</v>
      </c>
      <c r="N61" s="75">
        <f t="shared" si="13"/>
        <v>1.5517575386992075</v>
      </c>
      <c r="O61" s="63">
        <f t="shared" si="4"/>
        <v>1075.5912329850978</v>
      </c>
      <c r="P61" s="63">
        <f t="shared" si="5"/>
        <v>367.89705444326273</v>
      </c>
      <c r="Q61" s="63">
        <f t="shared" si="6"/>
        <v>657.30575349089315</v>
      </c>
      <c r="R61" s="63">
        <f t="shared" si="7"/>
        <v>50.388425050941919</v>
      </c>
      <c r="S61" s="63">
        <f t="shared" si="8"/>
        <v>8.7822901197811927</v>
      </c>
      <c r="T61" s="63">
        <f t="shared" ref="T61:T68" si="21">IF(S61&gt;0,+T60+S61,0)</f>
        <v>593.0024874727975</v>
      </c>
      <c r="U61" s="64">
        <f t="shared" si="3"/>
        <v>2957.833435371369</v>
      </c>
      <c r="V61" s="63">
        <f t="shared" si="9"/>
        <v>1551.7575386992075</v>
      </c>
      <c r="W61" s="63">
        <f t="shared" si="10"/>
        <v>1551.7575386992075</v>
      </c>
      <c r="X61" s="63">
        <f t="shared" si="15"/>
        <v>0.16071516868663011</v>
      </c>
      <c r="Y61" s="63">
        <f t="shared" si="16"/>
        <v>0</v>
      </c>
      <c r="Z61" s="63">
        <f t="shared" si="17"/>
        <v>0.12931312822493396</v>
      </c>
      <c r="AA61" s="63">
        <f t="shared" si="19"/>
        <v>1075.5912329850978</v>
      </c>
      <c r="AB61" s="63">
        <f t="shared" si="20"/>
        <v>367.89705444326273</v>
      </c>
      <c r="AC61" s="63">
        <f t="shared" si="11"/>
        <v>657.30575349089315</v>
      </c>
      <c r="AD61" s="63">
        <f t="shared" si="18"/>
        <v>0</v>
      </c>
      <c r="AE61" s="118"/>
      <c r="AF61" s="71"/>
      <c r="AG61" s="72"/>
    </row>
    <row r="62" spans="1:33" ht="13.5" thickBot="1">
      <c r="A62" s="104" t="s">
        <v>129</v>
      </c>
      <c r="B62" s="63"/>
      <c r="C62" s="63"/>
      <c r="D62" s="63"/>
      <c r="E62" s="63" t="s">
        <v>130</v>
      </c>
      <c r="F62" s="63"/>
      <c r="G62" s="63"/>
      <c r="H62" s="63"/>
      <c r="I62" s="46" t="s">
        <v>131</v>
      </c>
      <c r="J62" s="46"/>
      <c r="K62" s="44"/>
      <c r="L62" s="64">
        <v>14</v>
      </c>
      <c r="M62" s="63">
        <f t="shared" ca="1" si="12"/>
        <v>2031.49</v>
      </c>
      <c r="N62" s="75">
        <f t="shared" si="13"/>
        <v>1.3674426436078735</v>
      </c>
      <c r="O62" s="63">
        <f t="shared" si="4"/>
        <v>985.74787213202876</v>
      </c>
      <c r="P62" s="63">
        <f t="shared" si="5"/>
        <v>382.61293662099325</v>
      </c>
      <c r="Q62" s="63">
        <f t="shared" si="6"/>
        <v>602.40147741401768</v>
      </c>
      <c r="R62" s="63">
        <f t="shared" si="7"/>
        <v>0.73345809701788767</v>
      </c>
      <c r="S62" s="63">
        <f t="shared" si="8"/>
        <v>0.11116151640677679</v>
      </c>
      <c r="T62" s="63">
        <f t="shared" si="21"/>
        <v>593.11364898920431</v>
      </c>
      <c r="U62" s="64">
        <f t="shared" si="3"/>
        <v>2957.833435371369</v>
      </c>
      <c r="V62" s="63">
        <f t="shared" si="9"/>
        <v>1367.4426436078734</v>
      </c>
      <c r="W62" s="63">
        <f t="shared" si="10"/>
        <v>1367.4426436078734</v>
      </c>
      <c r="X62" s="63">
        <f t="shared" si="15"/>
        <v>0.14162571771422258</v>
      </c>
      <c r="Y62" s="63">
        <f t="shared" si="16"/>
        <v>0</v>
      </c>
      <c r="Z62" s="63">
        <f t="shared" si="17"/>
        <v>0.11395355363398944</v>
      </c>
      <c r="AA62" s="63">
        <f t="shared" si="19"/>
        <v>985.74787213202876</v>
      </c>
      <c r="AB62" s="63">
        <f t="shared" si="20"/>
        <v>382.61293662099325</v>
      </c>
      <c r="AC62" s="63">
        <f t="shared" si="11"/>
        <v>602.40147741401768</v>
      </c>
      <c r="AD62" s="63">
        <f t="shared" si="18"/>
        <v>0</v>
      </c>
      <c r="AE62" s="118"/>
      <c r="AF62" s="71"/>
      <c r="AG62" s="72"/>
    </row>
    <row r="63" spans="1:33" ht="14.25" thickTop="1" thickBot="1">
      <c r="A63" s="106">
        <f>IF(A25,1415/$L$14/IF(AND($L$5=0,A25),1000,1),2/$L$13)</f>
        <v>2</v>
      </c>
      <c r="B63" s="64" t="str">
        <f>$L$27</f>
        <v>m3/d</v>
      </c>
      <c r="C63" s="63"/>
      <c r="D63" s="63"/>
      <c r="E63" s="63">
        <f>-365*$A$60*(1-EXP(LN($A$63/(MIN($A$57,$A$60)))))/$A$66/(IF(A25,1000000,1000))</f>
        <v>54</v>
      </c>
      <c r="F63" s="63" t="str">
        <f>$I$46</f>
        <v>000 m3</v>
      </c>
      <c r="G63" s="63"/>
      <c r="H63" s="63"/>
      <c r="I63" s="46">
        <f>LN($A$63/(MIN($A$57,$A$60)))/$A$66</f>
        <v>17.737855442618084</v>
      </c>
      <c r="J63" s="46" t="s">
        <v>125</v>
      </c>
      <c r="K63" s="44"/>
      <c r="L63" s="64">
        <v>15</v>
      </c>
      <c r="M63" s="63">
        <f t="shared" ca="1" si="12"/>
        <v>2032.49</v>
      </c>
      <c r="N63" s="75">
        <f t="shared" ref="N63:N68" si="22">IF(R63&gt;0,W63,0)/1000</f>
        <v>0</v>
      </c>
      <c r="O63" s="63">
        <f t="shared" si="4"/>
        <v>0</v>
      </c>
      <c r="P63" s="63">
        <f t="shared" si="5"/>
        <v>0</v>
      </c>
      <c r="Q63" s="63">
        <f t="shared" si="6"/>
        <v>0</v>
      </c>
      <c r="R63" s="63">
        <f t="shared" si="7"/>
        <v>0</v>
      </c>
      <c r="S63" s="63">
        <f t="shared" si="8"/>
        <v>0</v>
      </c>
      <c r="T63" s="63">
        <f t="shared" si="21"/>
        <v>0</v>
      </c>
      <c r="U63" s="64">
        <f t="shared" si="3"/>
        <v>2957.833435371369</v>
      </c>
      <c r="V63" s="63">
        <f t="shared" si="9"/>
        <v>1205.0203314138694</v>
      </c>
      <c r="W63" s="63">
        <f t="shared" si="10"/>
        <v>1205.0203314138694</v>
      </c>
      <c r="X63" s="63">
        <f t="shared" si="15"/>
        <v>0.12480367647921504</v>
      </c>
      <c r="Y63" s="63">
        <f t="shared" si="16"/>
        <v>0</v>
      </c>
      <c r="Z63" s="63">
        <f t="shared" si="17"/>
        <v>0.10041836095115578</v>
      </c>
      <c r="AA63" s="63">
        <f t="shared" si="19"/>
        <v>903.40906248934198</v>
      </c>
      <c r="AB63" s="63">
        <f t="shared" si="20"/>
        <v>397.91745408583307</v>
      </c>
      <c r="AC63" s="63">
        <f t="shared" si="11"/>
        <v>552.08331596570895</v>
      </c>
      <c r="AD63" s="63">
        <f t="shared" si="18"/>
        <v>0</v>
      </c>
      <c r="AE63" s="118"/>
      <c r="AF63" s="71"/>
      <c r="AG63" s="72"/>
    </row>
    <row r="64" spans="1:33" ht="13.5" thickTop="1">
      <c r="A64" s="103"/>
      <c r="B64" s="46"/>
      <c r="C64" s="46"/>
      <c r="D64" s="46"/>
      <c r="E64" s="46"/>
      <c r="F64" s="46"/>
      <c r="G64" s="46"/>
      <c r="H64" s="46"/>
      <c r="I64" s="46"/>
      <c r="J64" s="46"/>
      <c r="K64" s="44"/>
      <c r="L64" s="64">
        <v>16</v>
      </c>
      <c r="M64" s="63">
        <f t="shared" ca="1" si="12"/>
        <v>2033.49</v>
      </c>
      <c r="N64" s="75">
        <f t="shared" si="22"/>
        <v>0</v>
      </c>
      <c r="O64" s="63">
        <f t="shared" si="4"/>
        <v>0</v>
      </c>
      <c r="P64" s="63">
        <f t="shared" si="5"/>
        <v>0</v>
      </c>
      <c r="Q64" s="63">
        <f t="shared" si="6"/>
        <v>0</v>
      </c>
      <c r="R64" s="63">
        <f t="shared" si="7"/>
        <v>0</v>
      </c>
      <c r="S64" s="63">
        <f t="shared" si="8"/>
        <v>0</v>
      </c>
      <c r="T64" s="63">
        <f t="shared" si="21"/>
        <v>0</v>
      </c>
      <c r="U64" s="64">
        <f t="shared" si="3"/>
        <v>2957.833435371369</v>
      </c>
      <c r="V64" s="63">
        <f t="shared" si="9"/>
        <v>1061.8902415457997</v>
      </c>
      <c r="W64" s="63">
        <f t="shared" si="10"/>
        <v>1061.8902415457997</v>
      </c>
      <c r="X64" s="63">
        <f t="shared" si="15"/>
        <v>0.10997972623982247</v>
      </c>
      <c r="Y64" s="63">
        <f t="shared" si="16"/>
        <v>0</v>
      </c>
      <c r="Z64" s="63">
        <f t="shared" si="17"/>
        <v>8.8490853462149965E-2</v>
      </c>
      <c r="AA64" s="63">
        <f t="shared" si="19"/>
        <v>827.94795430058866</v>
      </c>
      <c r="AB64" s="63">
        <f t="shared" si="20"/>
        <v>413.83415224926631</v>
      </c>
      <c r="AC64" s="63">
        <f t="shared" si="11"/>
        <v>505.96819429480416</v>
      </c>
      <c r="AD64" s="63">
        <f t="shared" si="18"/>
        <v>0</v>
      </c>
      <c r="AE64" s="118"/>
      <c r="AF64" s="71"/>
      <c r="AG64" s="72"/>
    </row>
    <row r="65" spans="1:33">
      <c r="A65" s="108" t="s">
        <v>132</v>
      </c>
      <c r="B65" s="46"/>
      <c r="C65" s="46"/>
      <c r="D65" s="46"/>
      <c r="E65" s="46" t="s">
        <v>133</v>
      </c>
      <c r="F65" s="46"/>
      <c r="G65" s="46"/>
      <c r="H65" s="46"/>
      <c r="I65" s="46" t="s">
        <v>134</v>
      </c>
      <c r="J65" s="46"/>
      <c r="K65" s="44"/>
      <c r="L65" s="64">
        <v>17</v>
      </c>
      <c r="M65" s="63">
        <f t="shared" ca="1" si="12"/>
        <v>2034.49</v>
      </c>
      <c r="N65" s="75">
        <f t="shared" si="22"/>
        <v>0</v>
      </c>
      <c r="O65" s="63">
        <f t="shared" si="4"/>
        <v>0</v>
      </c>
      <c r="P65" s="63">
        <f t="shared" si="5"/>
        <v>0</v>
      </c>
      <c r="Q65" s="63">
        <f t="shared" si="6"/>
        <v>0</v>
      </c>
      <c r="R65" s="63">
        <f t="shared" si="7"/>
        <v>0</v>
      </c>
      <c r="S65" s="63">
        <f t="shared" si="8"/>
        <v>0</v>
      </c>
      <c r="T65" s="63">
        <f t="shared" si="21"/>
        <v>0</v>
      </c>
      <c r="U65" s="64">
        <f t="shared" si="3"/>
        <v>2957.833435371369</v>
      </c>
      <c r="V65" s="63">
        <f t="shared" si="9"/>
        <v>935.76087945931408</v>
      </c>
      <c r="W65" s="63">
        <f t="shared" si="10"/>
        <v>935.76087945931408</v>
      </c>
      <c r="X65" s="63">
        <f t="shared" si="15"/>
        <v>9.6916537437105862E-2</v>
      </c>
      <c r="Y65" s="63">
        <f t="shared" si="16"/>
        <v>0</v>
      </c>
      <c r="Z65" s="63">
        <f t="shared" si="17"/>
        <v>7.7980073288276178E-2</v>
      </c>
      <c r="AA65" s="63">
        <f t="shared" si="19"/>
        <v>758.79005811790478</v>
      </c>
      <c r="AB65" s="63">
        <f t="shared" si="20"/>
        <v>430.38751833923703</v>
      </c>
      <c r="AC65" s="63">
        <f t="shared" si="11"/>
        <v>463.70503551649745</v>
      </c>
      <c r="AD65" s="63">
        <f t="shared" si="18"/>
        <v>0</v>
      </c>
      <c r="AE65" s="118"/>
      <c r="AF65" s="71"/>
      <c r="AG65" s="72"/>
    </row>
    <row r="66" spans="1:33">
      <c r="A66" s="108">
        <f>-365*$A$57*(1-EXP(LN($A$63/$A$57)))/($E$57*IF(A25,1000000,1000))</f>
        <v>-0.13518518518518519</v>
      </c>
      <c r="B66" s="46" t="s">
        <v>8</v>
      </c>
      <c r="C66" s="46"/>
      <c r="D66" s="46"/>
      <c r="E66" s="46">
        <f>EXP($A$66)-1</f>
        <v>-0.12644587257438411</v>
      </c>
      <c r="F66" s="46" t="s">
        <v>8</v>
      </c>
      <c r="G66" s="46"/>
      <c r="H66" s="46"/>
      <c r="I66" s="46">
        <f>(1+$E$66)^(1/12)-1</f>
        <v>-1.1202214731589777E-2</v>
      </c>
      <c r="J66" s="46" t="s">
        <v>8</v>
      </c>
      <c r="K66" s="44"/>
      <c r="L66" s="64">
        <v>18</v>
      </c>
      <c r="M66" s="63">
        <f t="shared" ca="1" si="12"/>
        <v>2035.49</v>
      </c>
      <c r="N66" s="75">
        <f t="shared" si="22"/>
        <v>0</v>
      </c>
      <c r="O66" s="63">
        <f t="shared" si="4"/>
        <v>0</v>
      </c>
      <c r="P66" s="63">
        <f t="shared" si="5"/>
        <v>0</v>
      </c>
      <c r="Q66" s="63">
        <f t="shared" si="6"/>
        <v>0</v>
      </c>
      <c r="R66" s="63">
        <f t="shared" si="7"/>
        <v>0</v>
      </c>
      <c r="S66" s="63">
        <f t="shared" si="8"/>
        <v>0</v>
      </c>
      <c r="T66" s="63">
        <f t="shared" si="21"/>
        <v>0</v>
      </c>
      <c r="U66" s="64">
        <f t="shared" si="3"/>
        <v>2957.833435371369</v>
      </c>
      <c r="V66" s="63">
        <f t="shared" si="9"/>
        <v>824.61293010074439</v>
      </c>
      <c r="W66" s="63">
        <f t="shared" si="10"/>
        <v>824.61293010074439</v>
      </c>
      <c r="X66" s="63">
        <f t="shared" si="15"/>
        <v>8.5404970078902687E-2</v>
      </c>
      <c r="Y66" s="63">
        <f t="shared" si="16"/>
        <v>0</v>
      </c>
      <c r="Z66" s="63">
        <f t="shared" si="17"/>
        <v>6.8717744175062032E-2</v>
      </c>
      <c r="AA66" s="63">
        <f t="shared" si="19"/>
        <v>695.40887118315334</v>
      </c>
      <c r="AB66" s="63">
        <f t="shared" si="20"/>
        <v>447.6030190728066</v>
      </c>
      <c r="AC66" s="63">
        <f t="shared" si="11"/>
        <v>424.9720879452604</v>
      </c>
      <c r="AD66" s="63">
        <f t="shared" si="18"/>
        <v>0</v>
      </c>
      <c r="AE66" s="118"/>
      <c r="AF66" s="71"/>
      <c r="AG66" s="72"/>
    </row>
    <row r="67" spans="1:33">
      <c r="A67" s="108"/>
      <c r="B67" s="46"/>
      <c r="C67" s="46"/>
      <c r="D67" s="46"/>
      <c r="E67" s="46"/>
      <c r="F67" s="46"/>
      <c r="G67" s="46"/>
      <c r="H67" s="46"/>
      <c r="I67" s="46"/>
      <c r="J67" s="46"/>
      <c r="K67" s="44"/>
      <c r="L67" s="64">
        <v>19</v>
      </c>
      <c r="M67" s="63">
        <f t="shared" ca="1" si="12"/>
        <v>2036.49</v>
      </c>
      <c r="N67" s="75">
        <f t="shared" si="22"/>
        <v>0</v>
      </c>
      <c r="O67" s="63">
        <f t="shared" si="4"/>
        <v>0</v>
      </c>
      <c r="P67" s="63">
        <f t="shared" si="5"/>
        <v>0</v>
      </c>
      <c r="Q67" s="63">
        <f t="shared" si="6"/>
        <v>0</v>
      </c>
      <c r="R67" s="63">
        <f t="shared" si="7"/>
        <v>0</v>
      </c>
      <c r="S67" s="63">
        <f t="shared" si="8"/>
        <v>0</v>
      </c>
      <c r="T67" s="63">
        <f t="shared" si="21"/>
        <v>0</v>
      </c>
      <c r="U67" s="64">
        <f t="shared" si="3"/>
        <v>2957.833435371369</v>
      </c>
      <c r="V67" s="63">
        <f t="shared" si="9"/>
        <v>726.66692892978597</v>
      </c>
      <c r="W67" s="63">
        <f t="shared" si="10"/>
        <v>726.66692892978597</v>
      </c>
      <c r="X67" s="63">
        <f t="shared" si="15"/>
        <v>7.5260725435137635E-2</v>
      </c>
      <c r="Y67" s="63">
        <f t="shared" si="16"/>
        <v>0</v>
      </c>
      <c r="Z67" s="63">
        <f t="shared" si="17"/>
        <v>6.0555577410815499E-2</v>
      </c>
      <c r="AA67" s="63">
        <f t="shared" si="19"/>
        <v>637.32186913430064</v>
      </c>
      <c r="AB67" s="63">
        <f t="shared" si="20"/>
        <v>465.50713983571882</v>
      </c>
      <c r="AC67" s="63">
        <f t="shared" si="11"/>
        <v>389.47447558207267</v>
      </c>
      <c r="AD67" s="63">
        <f t="shared" si="18"/>
        <v>0</v>
      </c>
      <c r="AE67" s="118"/>
      <c r="AF67" s="71"/>
      <c r="AG67" s="72"/>
    </row>
    <row r="68" spans="1:33" ht="13.5" thickBot="1">
      <c r="A68" s="108" t="s">
        <v>135</v>
      </c>
      <c r="B68" s="46"/>
      <c r="C68" s="46"/>
      <c r="D68" s="46"/>
      <c r="E68" s="46" t="s">
        <v>136</v>
      </c>
      <c r="F68" s="46"/>
      <c r="G68" s="46"/>
      <c r="H68" s="46"/>
      <c r="I68" s="46" t="s">
        <v>137</v>
      </c>
      <c r="J68" s="46"/>
      <c r="K68" s="44"/>
      <c r="L68" s="64">
        <v>20</v>
      </c>
      <c r="M68" s="63">
        <f t="shared" ca="1" si="12"/>
        <v>2037.49</v>
      </c>
      <c r="N68" s="75">
        <f t="shared" si="22"/>
        <v>0</v>
      </c>
      <c r="O68" s="63">
        <f t="shared" si="4"/>
        <v>0</v>
      </c>
      <c r="P68" s="63">
        <f t="shared" si="5"/>
        <v>0</v>
      </c>
      <c r="Q68" s="63">
        <f t="shared" si="6"/>
        <v>0</v>
      </c>
      <c r="R68" s="63">
        <f t="shared" si="7"/>
        <v>0</v>
      </c>
      <c r="S68" s="63">
        <f t="shared" si="8"/>
        <v>0</v>
      </c>
      <c r="T68" s="63">
        <f t="shared" si="21"/>
        <v>0</v>
      </c>
      <c r="U68" s="64">
        <f t="shared" si="3"/>
        <v>2957.833435371369</v>
      </c>
      <c r="V68" s="63">
        <f t="shared" si="9"/>
        <v>640.35477291840948</v>
      </c>
      <c r="W68" s="63">
        <f t="shared" si="10"/>
        <v>0</v>
      </c>
      <c r="X68" s="63">
        <f t="shared" si="15"/>
        <v>0</v>
      </c>
      <c r="Y68" s="63">
        <f t="shared" si="16"/>
        <v>0</v>
      </c>
      <c r="Z68" s="63">
        <f t="shared" si="17"/>
        <v>0</v>
      </c>
      <c r="AA68" s="63">
        <f t="shared" si="19"/>
        <v>0</v>
      </c>
      <c r="AB68" s="63">
        <f t="shared" si="20"/>
        <v>0</v>
      </c>
      <c r="AC68" s="63">
        <f t="shared" si="11"/>
        <v>0</v>
      </c>
      <c r="AD68" s="63">
        <f t="shared" si="18"/>
        <v>0</v>
      </c>
      <c r="AE68" s="118"/>
      <c r="AF68" s="71"/>
      <c r="AG68" s="72"/>
    </row>
    <row r="69" spans="1:33" ht="14.25" thickTop="1" thickBot="1">
      <c r="A69" s="109">
        <v>0.04</v>
      </c>
      <c r="B69" s="44" t="s">
        <v>8</v>
      </c>
      <c r="C69" s="46"/>
      <c r="D69" s="46"/>
      <c r="E69" s="53">
        <v>0.04</v>
      </c>
      <c r="F69" s="44" t="s">
        <v>8</v>
      </c>
      <c r="G69" s="46"/>
      <c r="H69" s="46"/>
      <c r="I69" s="53">
        <v>0.15</v>
      </c>
      <c r="J69" s="44" t="s">
        <v>8</v>
      </c>
      <c r="K69" s="44"/>
      <c r="L69" s="44"/>
      <c r="M69" s="46"/>
      <c r="N69" s="46"/>
      <c r="O69" s="46"/>
      <c r="P69" s="46"/>
      <c r="Q69" s="46"/>
      <c r="R69" s="46"/>
      <c r="S69" s="46"/>
      <c r="T69" s="46"/>
      <c r="U69" s="44"/>
      <c r="V69" s="46"/>
      <c r="W69" s="46"/>
      <c r="X69" s="63">
        <f t="shared" si="15"/>
        <v>0</v>
      </c>
      <c r="Y69" s="63">
        <f t="shared" si="16"/>
        <v>0</v>
      </c>
      <c r="Z69" s="63">
        <f t="shared" si="17"/>
        <v>0</v>
      </c>
      <c r="AA69" s="46">
        <f t="shared" si="19"/>
        <v>0</v>
      </c>
      <c r="AB69" s="46"/>
      <c r="AC69" s="46"/>
      <c r="AD69" s="46"/>
      <c r="AE69" s="118"/>
      <c r="AF69" s="5"/>
    </row>
    <row r="70" spans="1:33" ht="16.5" thickTop="1">
      <c r="A70" s="103"/>
      <c r="B70" s="46"/>
      <c r="C70" s="46"/>
      <c r="D70" s="46"/>
      <c r="E70" s="45"/>
      <c r="F70" s="46"/>
      <c r="G70" s="46"/>
      <c r="H70" s="46"/>
      <c r="I70" s="45"/>
      <c r="J70" s="46"/>
      <c r="K70" s="44"/>
      <c r="L70" s="55" t="s">
        <v>138</v>
      </c>
      <c r="M70" s="54"/>
      <c r="N70" s="54"/>
      <c r="O70" s="54"/>
      <c r="P70" s="54"/>
      <c r="Q70" s="54"/>
      <c r="R70" s="54"/>
      <c r="S70" s="54"/>
      <c r="T70" s="54"/>
      <c r="U70" s="44"/>
      <c r="V70" s="46"/>
      <c r="W70" s="46"/>
      <c r="X70" s="63">
        <f t="shared" si="15"/>
        <v>0</v>
      </c>
      <c r="Y70" s="63">
        <f t="shared" si="16"/>
        <v>0</v>
      </c>
      <c r="Z70" s="63">
        <f t="shared" si="17"/>
        <v>0</v>
      </c>
      <c r="AA70" s="46" t="e">
        <f t="shared" si="19"/>
        <v>#VALUE!</v>
      </c>
      <c r="AB70" s="46"/>
      <c r="AC70" s="46"/>
      <c r="AD70" s="46"/>
      <c r="AE70" s="118"/>
      <c r="AF70" s="5"/>
    </row>
    <row r="71" spans="1:33" ht="13.5" thickBot="1">
      <c r="A71" s="108" t="s">
        <v>139</v>
      </c>
      <c r="B71" s="46"/>
      <c r="C71" s="46"/>
      <c r="D71" s="46"/>
      <c r="E71" s="46" t="s">
        <v>140</v>
      </c>
      <c r="F71" s="46"/>
      <c r="G71" s="46"/>
      <c r="H71" s="46" t="s">
        <v>141</v>
      </c>
      <c r="I71" s="46"/>
      <c r="J71" s="46"/>
      <c r="K71" s="44"/>
      <c r="L71" s="52"/>
      <c r="M71" s="50"/>
      <c r="N71" s="50"/>
      <c r="O71" s="50"/>
      <c r="P71" s="50"/>
      <c r="Q71" s="50"/>
      <c r="R71" s="50"/>
      <c r="S71" s="50"/>
      <c r="T71" s="50"/>
      <c r="U71" s="44"/>
      <c r="V71" s="46"/>
      <c r="W71" s="46"/>
      <c r="X71" s="46"/>
      <c r="Y71" s="46"/>
      <c r="Z71" s="46"/>
      <c r="AA71" s="46"/>
      <c r="AB71" s="46"/>
      <c r="AC71" s="46"/>
      <c r="AD71" s="46"/>
      <c r="AE71" s="118"/>
      <c r="AF71" s="5"/>
    </row>
    <row r="72" spans="1:33" ht="14.25" thickTop="1" thickBot="1">
      <c r="A72" s="109">
        <f>I78*(0.1+0.1*$C$53)</f>
        <v>259.43396226415098</v>
      </c>
      <c r="B72" s="64" t="str">
        <f>$L$34</f>
        <v>$/m3</v>
      </c>
      <c r="C72" s="63"/>
      <c r="D72" s="63"/>
      <c r="E72" s="65">
        <f>(13200+5.22*$L$9*C25)/12*$C$53*$C$54</f>
        <v>18777.091535433057</v>
      </c>
      <c r="F72" s="64" t="s">
        <v>142</v>
      </c>
      <c r="G72" s="63"/>
      <c r="H72" s="63"/>
      <c r="I72" s="65">
        <f>($L$9*C25*(35+0.002472*$L$9*C25+$L$9^2.8*0.0000000003*C25^2.8)+11500+21*$L$9*C25)/1000*$C$53*$C$54</f>
        <v>2957.833435371369</v>
      </c>
      <c r="J72" s="44" t="s">
        <v>143</v>
      </c>
      <c r="K72" s="44"/>
      <c r="L72" s="43" t="s">
        <v>144</v>
      </c>
      <c r="M72" s="45"/>
      <c r="N72" s="45"/>
      <c r="O72" s="45"/>
      <c r="P72" s="45"/>
      <c r="Q72" s="45"/>
      <c r="R72" s="62">
        <f>SUM(N49:N68)</f>
        <v>49.4298902977933</v>
      </c>
      <c r="S72" s="45" t="str">
        <f>"000 "&amp;$L$33</f>
        <v>000 m3</v>
      </c>
      <c r="T72" s="45"/>
      <c r="U72" s="44"/>
      <c r="V72" s="46"/>
      <c r="W72" s="46"/>
      <c r="X72" s="46"/>
      <c r="Y72" s="46"/>
      <c r="Z72" s="46"/>
      <c r="AA72" s="46"/>
      <c r="AB72" s="46"/>
      <c r="AC72" s="46"/>
      <c r="AD72" s="46"/>
      <c r="AE72" s="118"/>
      <c r="AF72" s="5"/>
    </row>
    <row r="73" spans="1:33" ht="13.5" thickTop="1">
      <c r="A73" s="103"/>
      <c r="B73" s="46"/>
      <c r="C73" s="46"/>
      <c r="D73" s="46"/>
      <c r="E73" s="45"/>
      <c r="F73" s="46"/>
      <c r="G73" s="46"/>
      <c r="H73" s="46"/>
      <c r="I73" s="45"/>
      <c r="J73" s="46"/>
      <c r="K73" s="44"/>
      <c r="L73" s="44" t="s">
        <v>145</v>
      </c>
      <c r="M73" s="46"/>
      <c r="N73" s="46"/>
      <c r="O73" s="46"/>
      <c r="P73" s="46"/>
      <c r="Q73" s="46" t="s">
        <v>146</v>
      </c>
      <c r="R73" s="63">
        <f>SUM(S49:S68)</f>
        <v>3550.9470843605732</v>
      </c>
      <c r="S73" s="46" t="s">
        <v>147</v>
      </c>
      <c r="T73" s="46"/>
      <c r="U73" s="44"/>
      <c r="V73" s="46"/>
      <c r="W73" s="46"/>
      <c r="X73" s="46"/>
      <c r="Y73" s="46"/>
      <c r="Z73" s="46"/>
      <c r="AA73" s="46"/>
      <c r="AB73" s="46"/>
      <c r="AC73" s="46"/>
      <c r="AD73" s="46"/>
      <c r="AE73" s="118"/>
      <c r="AF73" s="5"/>
    </row>
    <row r="74" spans="1:33" ht="13.5" thickBot="1">
      <c r="A74" s="110" t="s">
        <v>168</v>
      </c>
      <c r="B74" s="46"/>
      <c r="C74" s="46"/>
      <c r="D74" s="46"/>
      <c r="E74" s="46" t="s">
        <v>148</v>
      </c>
      <c r="F74" s="46"/>
      <c r="G74" s="46"/>
      <c r="H74" s="46" t="s">
        <v>149</v>
      </c>
      <c r="I74" s="46"/>
      <c r="J74" s="46"/>
      <c r="K74" s="44"/>
      <c r="L74" s="44" t="s">
        <v>150</v>
      </c>
      <c r="M74" s="46"/>
      <c r="N74" s="46"/>
      <c r="O74" s="46"/>
      <c r="P74" s="46"/>
      <c r="Q74" s="46" t="s">
        <v>146</v>
      </c>
      <c r="R74" s="63">
        <f>$I$72</f>
        <v>2957.833435371369</v>
      </c>
      <c r="S74" s="46" t="s">
        <v>147</v>
      </c>
      <c r="T74" s="46"/>
      <c r="U74" s="44"/>
      <c r="V74" s="46"/>
      <c r="W74" s="46"/>
      <c r="X74" s="46"/>
      <c r="Y74" s="46"/>
      <c r="Z74" s="46"/>
      <c r="AA74" s="46"/>
      <c r="AB74" s="46"/>
      <c r="AC74" s="46"/>
      <c r="AD74" s="46"/>
      <c r="AE74" s="118"/>
      <c r="AF74" s="5"/>
    </row>
    <row r="75" spans="1:33" ht="14.25" thickTop="1" thickBot="1">
      <c r="A75" s="109">
        <v>0.1</v>
      </c>
      <c r="B75" s="74" t="s">
        <v>159</v>
      </c>
      <c r="C75" s="46"/>
      <c r="D75" s="46"/>
      <c r="E75" s="53">
        <v>0</v>
      </c>
      <c r="F75" s="44" t="s">
        <v>8</v>
      </c>
      <c r="G75" s="46"/>
      <c r="H75" s="46"/>
      <c r="I75" s="53">
        <v>1</v>
      </c>
      <c r="J75" s="44" t="s">
        <v>8</v>
      </c>
      <c r="K75" s="44"/>
      <c r="L75" s="44" t="s">
        <v>151</v>
      </c>
      <c r="M75" s="46"/>
      <c r="N75" s="46"/>
      <c r="O75" s="46"/>
      <c r="P75" s="46"/>
      <c r="Q75" s="46" t="s">
        <v>146</v>
      </c>
      <c r="R75" s="63">
        <f>R73-R74</f>
        <v>593.11364898920419</v>
      </c>
      <c r="S75" s="46" t="s">
        <v>147</v>
      </c>
      <c r="T75" s="46"/>
      <c r="U75" s="44"/>
      <c r="V75" s="46"/>
      <c r="W75" s="46"/>
      <c r="X75" s="46"/>
      <c r="Y75" s="46"/>
      <c r="Z75" s="46"/>
      <c r="AA75" s="46"/>
      <c r="AB75" s="46"/>
      <c r="AC75" s="46"/>
      <c r="AD75" s="46"/>
      <c r="AE75" s="118"/>
      <c r="AF75" s="5"/>
    </row>
    <row r="76" spans="1:33" ht="13.5" thickTop="1">
      <c r="A76" s="103"/>
      <c r="B76" s="46"/>
      <c r="C76" s="46"/>
      <c r="D76" s="46"/>
      <c r="E76" s="45"/>
      <c r="F76" s="46"/>
      <c r="G76" s="46"/>
      <c r="H76" s="46"/>
      <c r="I76" s="45"/>
      <c r="J76" s="46"/>
      <c r="K76" s="44"/>
      <c r="L76" s="44" t="s">
        <v>152</v>
      </c>
      <c r="M76" s="46"/>
      <c r="N76" s="46"/>
      <c r="O76" s="46"/>
      <c r="P76" s="46"/>
      <c r="Q76" s="46"/>
      <c r="R76" s="63">
        <f>$I$75*$R$75</f>
        <v>593.11364898920419</v>
      </c>
      <c r="S76" s="46" t="s">
        <v>147</v>
      </c>
      <c r="T76" s="46"/>
      <c r="U76" s="44"/>
      <c r="V76" s="46"/>
      <c r="W76" s="46"/>
      <c r="X76" s="46"/>
      <c r="Y76" s="46"/>
      <c r="Z76" s="46"/>
      <c r="AA76" s="46"/>
      <c r="AB76" s="46"/>
      <c r="AC76" s="46"/>
      <c r="AD76" s="46"/>
      <c r="AE76" s="118"/>
      <c r="AF76" s="5"/>
    </row>
    <row r="77" spans="1:33" ht="13.5" thickBot="1">
      <c r="A77" s="108"/>
      <c r="B77" s="46"/>
      <c r="C77" s="46"/>
      <c r="D77" s="46"/>
      <c r="E77" s="46" t="s">
        <v>153</v>
      </c>
      <c r="F77" s="46"/>
      <c r="G77" s="46"/>
      <c r="H77" s="46" t="s">
        <v>154</v>
      </c>
      <c r="I77" s="46"/>
      <c r="J77" s="46" t="s">
        <v>164</v>
      </c>
      <c r="K77" s="44"/>
      <c r="L77" s="44" t="s">
        <v>155</v>
      </c>
      <c r="M77" s="46"/>
      <c r="N77" s="46"/>
      <c r="O77" s="46"/>
      <c r="P77" s="46"/>
      <c r="Q77" s="46"/>
      <c r="R77" s="63">
        <f>IF(R75&gt;0,SUM(AD49:AD68),10^9)</f>
        <v>5</v>
      </c>
      <c r="S77" s="46" t="s">
        <v>156</v>
      </c>
      <c r="T77" s="46"/>
      <c r="U77" s="44"/>
      <c r="V77" s="46"/>
      <c r="W77" s="46"/>
      <c r="X77" s="46"/>
      <c r="Y77" s="46"/>
      <c r="Z77" s="46"/>
      <c r="AA77" s="46"/>
      <c r="AB77" s="46"/>
      <c r="AC77" s="46"/>
      <c r="AD77" s="46"/>
      <c r="AE77" s="118"/>
      <c r="AF77" s="5"/>
    </row>
    <row r="78" spans="1:33" ht="14.25" thickTop="1" thickBot="1">
      <c r="A78" s="108"/>
      <c r="B78" s="46"/>
      <c r="C78" s="46"/>
      <c r="D78" s="46"/>
      <c r="E78" s="65">
        <f ca="1">YEAR(TRUNC(TRUNC(NOW())))</f>
        <v>2018</v>
      </c>
      <c r="F78" s="44"/>
      <c r="G78" s="46"/>
      <c r="H78" s="53">
        <v>60</v>
      </c>
      <c r="I78" s="53">
        <f>H78*H79/IF($A$15="E",1,(IF($A$25,28.3,0.159)))</f>
        <v>471.69811320754718</v>
      </c>
      <c r="J78" s="61" t="s">
        <v>60</v>
      </c>
      <c r="K78" s="44"/>
      <c r="L78" s="44" t="s">
        <v>157</v>
      </c>
      <c r="M78" s="46"/>
      <c r="N78" s="46"/>
      <c r="O78" s="46"/>
      <c r="P78" s="46" t="s">
        <v>158</v>
      </c>
      <c r="Q78" s="46">
        <v>1</v>
      </c>
      <c r="R78" s="46">
        <f>IRR(S48:S68,Q78)</f>
        <v>5.5493407155693397E-2</v>
      </c>
      <c r="S78" s="46" t="s">
        <v>159</v>
      </c>
      <c r="T78" s="46"/>
      <c r="U78" s="44"/>
      <c r="V78" s="46"/>
      <c r="W78" s="46"/>
      <c r="X78" s="46"/>
      <c r="Y78" s="46"/>
      <c r="Z78" s="46"/>
      <c r="AA78" s="46"/>
      <c r="AB78" s="46"/>
      <c r="AC78" s="46"/>
      <c r="AD78" s="46"/>
      <c r="AE78" s="118"/>
      <c r="AF78" s="5"/>
    </row>
    <row r="79" spans="1:33" ht="14.25" thickTop="1" thickBot="1">
      <c r="A79" s="111"/>
      <c r="B79" s="46"/>
      <c r="C79" s="46"/>
      <c r="D79" s="46"/>
      <c r="E79" s="45"/>
      <c r="F79" s="46" t="s">
        <v>165</v>
      </c>
      <c r="G79" s="46"/>
      <c r="H79" s="53">
        <v>1.25</v>
      </c>
      <c r="I79" s="45"/>
      <c r="J79" s="46"/>
      <c r="K79" s="44"/>
      <c r="L79" s="44" t="s">
        <v>160</v>
      </c>
      <c r="M79" s="46"/>
      <c r="N79" s="46"/>
      <c r="O79" s="46"/>
      <c r="P79" s="46"/>
      <c r="Q79" s="46"/>
      <c r="R79" s="46">
        <f>$I$69</f>
        <v>0.15</v>
      </c>
      <c r="S79" s="46" t="s">
        <v>159</v>
      </c>
      <c r="T79" s="46"/>
      <c r="U79" s="44"/>
      <c r="V79" s="46"/>
      <c r="W79" s="46"/>
      <c r="X79" s="46"/>
      <c r="Y79" s="46"/>
      <c r="Z79" s="46"/>
      <c r="AA79" s="46"/>
      <c r="AB79" s="46"/>
      <c r="AC79" s="46"/>
      <c r="AD79" s="46"/>
      <c r="AE79" s="118"/>
      <c r="AF79" s="5"/>
    </row>
    <row r="80" spans="1:33" ht="13.5" thickTop="1">
      <c r="A80" s="57" t="s">
        <v>161</v>
      </c>
      <c r="B80" s="59"/>
      <c r="C80" s="59"/>
      <c r="D80" s="59"/>
      <c r="E80" s="59" t="s">
        <v>162</v>
      </c>
      <c r="F80" s="59"/>
      <c r="G80" s="59"/>
      <c r="H80" s="59" t="s">
        <v>163</v>
      </c>
      <c r="I80" s="59"/>
      <c r="J80" s="59"/>
      <c r="K80" s="44"/>
      <c r="L80" s="44"/>
      <c r="M80" s="46"/>
      <c r="N80" s="46"/>
      <c r="O80" s="46"/>
      <c r="P80" s="46"/>
      <c r="Q80" s="46"/>
      <c r="R80" s="46"/>
      <c r="S80" s="46"/>
      <c r="T80" s="46"/>
      <c r="U80" s="44"/>
      <c r="V80" s="46"/>
      <c r="W80" s="46"/>
      <c r="X80" s="46"/>
      <c r="Y80" s="46"/>
      <c r="Z80" s="46"/>
      <c r="AA80" s="46"/>
      <c r="AB80" s="46"/>
      <c r="AC80" s="46"/>
      <c r="AD80" s="46"/>
      <c r="AE80" s="118"/>
      <c r="AF80" s="5"/>
    </row>
    <row r="81" spans="1:32" ht="13.5" thickBot="1">
      <c r="A81" s="56"/>
      <c r="B81" s="58"/>
      <c r="C81" s="58"/>
      <c r="D81" s="58"/>
      <c r="E81" s="58"/>
      <c r="F81" s="58"/>
      <c r="G81" s="58"/>
      <c r="H81" s="58"/>
      <c r="I81" s="58"/>
      <c r="J81" s="58"/>
      <c r="K81" s="44"/>
      <c r="L81" s="44"/>
      <c r="M81" s="46"/>
      <c r="N81" s="46"/>
      <c r="O81" s="46"/>
      <c r="P81" s="46"/>
      <c r="Q81" s="46"/>
      <c r="R81" s="46"/>
      <c r="S81" s="46"/>
      <c r="T81" s="46"/>
      <c r="U81" s="44"/>
      <c r="V81" s="46"/>
      <c r="W81" s="46"/>
      <c r="X81" s="46"/>
      <c r="Y81" s="46"/>
      <c r="Z81" s="46"/>
      <c r="AA81" s="46"/>
      <c r="AB81" s="46"/>
      <c r="AC81" s="46"/>
      <c r="AD81" s="46"/>
      <c r="AE81" s="118"/>
      <c r="AF81" s="5"/>
    </row>
    <row r="82" spans="1:32" ht="13.5" thickTop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6"/>
    </row>
    <row r="83" spans="1:3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1:3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 spans="1:3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 spans="1:3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 spans="1:3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 spans="1:3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 spans="1:3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 spans="1:3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 spans="1:3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 spans="1:3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 spans="1:3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 spans="1:3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 spans="1:3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 spans="1:3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 spans="1:3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 spans="1:3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3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 spans="1:3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 spans="1:3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 spans="1:3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 spans="1:3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 spans="1:3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 spans="1:3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 spans="1:3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 spans="1:3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 spans="1:3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 spans="1:3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 spans="1:3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1:3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 spans="1:3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 spans="1:3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 spans="1:3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 spans="1:3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 spans="1:3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 spans="1:3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 spans="1:3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 spans="1:3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 spans="1:3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 spans="1:3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 spans="1:3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1:3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3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 spans="1:3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1:3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1:3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1:3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1:3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1:3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1:3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1:3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1:3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1:3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1:3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1:3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1:3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1:3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1:3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 spans="1:3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1:3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1:3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1:3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1:3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1:3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1:3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 spans="1:3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 spans="1:3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 spans="1:3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1:3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 spans="1:3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 spans="1:3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 spans="1:3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 spans="1:3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</sheetData>
  <mergeCells count="2">
    <mergeCell ref="A1:J1"/>
    <mergeCell ref="K1:R1"/>
  </mergeCells>
  <phoneticPr fontId="32" type="noConversion"/>
  <hyperlinks>
    <hyperlink ref="I5" r:id="rId1"/>
    <hyperlink ref="C10" r:id="rId2"/>
    <hyperlink ref="C11" r:id="rId3"/>
  </hyperlinks>
  <pageMargins left="2.3597222222222221" right="0.25" top="3.1465277777777776" bottom="0.58333333333333337" header="0.5" footer="0.5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4metacsh</vt:lpstr>
      <vt:lpstr>ANSWERS</vt:lpstr>
      <vt:lpstr>HEADER</vt:lpstr>
      <vt:lpstr>LOGO</vt:lpstr>
      <vt:lpstr>PARAMETERS</vt:lpstr>
      <vt:lpstr>RAW_DATA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Owner</cp:lastModifiedBy>
  <dcterms:created xsi:type="dcterms:W3CDTF">2018-09-29T21:49:40Z</dcterms:created>
  <dcterms:modified xsi:type="dcterms:W3CDTF">2018-10-22T16:24:43Z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7c65845b-0219-4685-88d7-1843198ae542</vt:lpwstr>
  </property>
</Properties>
</file>