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seis" sheetId="1" r:id="rId1"/>
  </sheets>
  <definedNames>
    <definedName name="ANSWERS">'4metaseis'!$O$47:$T$47</definedName>
    <definedName name="DENSHY">'4metaseis'!$I$34:$I$34</definedName>
    <definedName name="DENSMA">'4metaseis'!$L$34:$L$34</definedName>
    <definedName name="DENSSH">'4metaseis'!$F$34:$F$34</definedName>
    <definedName name="DENSW">'4metaseis'!$C$34:$C$34</definedName>
    <definedName name="DEPTH">'4metaseis'!$C$25:$C$25</definedName>
    <definedName name="DTCHY">'4metaseis'!$G$34:$G$34</definedName>
    <definedName name="DTCMA">'4metaseis'!$J$34:$J$34</definedName>
    <definedName name="DTCSH">'4metaseis'!$D$34:$D$34</definedName>
    <definedName name="DTCW">'4metaseis'!$A$34:$A$34</definedName>
    <definedName name="DTSHY">'4metaseis'!$H$34:$H$34</definedName>
    <definedName name="DTSMA">'4metaseis'!$K$34:$K$34</definedName>
    <definedName name="DTSSH">'4metaseis'!$E$34:$E$34</definedName>
    <definedName name="DTSW">'4metaseis'!$B$34:$B$34</definedName>
    <definedName name="FLUIDTYPE">'4metaseis'!$F$25:$F$25</definedName>
    <definedName name="HEADER">'4metaseis'!$A$5:$K$13</definedName>
    <definedName name="KBUCKL">'4metaseis'!$H$25:$H$25</definedName>
    <definedName name="LITHTYPE">'4metaseis'!$G$25:$G$25</definedName>
    <definedName name="LOGO">'4metaseis'!$A$1:$K$4</definedName>
    <definedName name="PARAMETERS">'4metaseis'!$A$1:$K$43</definedName>
    <definedName name="PHI">'4metaseis'!$E$25:$E$25</definedName>
    <definedName name="RAW_DATA">'4metaseis'!$A$47:$O$47</definedName>
    <definedName name="SW">'4metaseis'!$B$42:$B$42</definedName>
    <definedName name="VSH">'4metaseis'!$D$25:$D$25</definedName>
  </definedNames>
  <calcPr calcId="144525"/>
</workbook>
</file>

<file path=xl/calcChain.xml><?xml version="1.0" encoding="utf-8"?>
<calcChain xmlns="http://schemas.openxmlformats.org/spreadsheetml/2006/main">
  <c r="N11" i="1" l="1"/>
  <c r="N12" i="1"/>
  <c r="N6" i="1" l="1"/>
  <c r="N7" i="1"/>
  <c r="N8" i="1"/>
  <c r="N9" i="1"/>
  <c r="N10" i="1"/>
  <c r="N13" i="1"/>
  <c r="N14" i="1"/>
  <c r="N24" i="1"/>
  <c r="N29" i="1"/>
  <c r="B34" i="1"/>
  <c r="H34" i="1" s="1"/>
  <c r="E34" i="1"/>
  <c r="G34" i="1"/>
  <c r="I34" i="1"/>
  <c r="J34" i="1"/>
  <c r="K34" i="1"/>
  <c r="L34" i="1"/>
  <c r="B35" i="1"/>
  <c r="H35" i="1" s="1"/>
  <c r="E35" i="1"/>
  <c r="G35" i="1"/>
  <c r="I35" i="1"/>
  <c r="G43" i="1" s="1"/>
  <c r="H43" i="1" s="1"/>
  <c r="J35" i="1"/>
  <c r="E43" i="1" s="1"/>
  <c r="K35" i="1"/>
  <c r="L35" i="1"/>
  <c r="B36" i="1"/>
  <c r="H36" i="1" s="1"/>
  <c r="E36" i="1"/>
  <c r="G36" i="1"/>
  <c r="I36" i="1"/>
  <c r="J36" i="1"/>
  <c r="K36" i="1"/>
  <c r="L36" i="1"/>
  <c r="B37" i="1"/>
  <c r="H37" i="1" s="1"/>
  <c r="E37" i="1"/>
  <c r="G37" i="1"/>
  <c r="I37" i="1"/>
  <c r="J37" i="1"/>
  <c r="K37" i="1"/>
  <c r="L37" i="1"/>
  <c r="A42" i="1"/>
  <c r="B42" i="1"/>
  <c r="A43" i="1"/>
  <c r="B43" i="1"/>
  <c r="A44" i="1"/>
  <c r="B44" i="1"/>
  <c r="G44" i="1" s="1"/>
  <c r="A45" i="1"/>
  <c r="B45" i="1"/>
  <c r="E45" i="1" s="1"/>
  <c r="G45" i="1"/>
  <c r="A49" i="1"/>
  <c r="B49" i="1"/>
  <c r="C49" i="1"/>
  <c r="A50" i="1"/>
  <c r="B50" i="1"/>
  <c r="C50" i="1"/>
  <c r="A51" i="1"/>
  <c r="B51" i="1"/>
  <c r="C51" i="1"/>
  <c r="E51" i="1" l="1"/>
  <c r="H45" i="1"/>
  <c r="F45" i="1"/>
  <c r="H51" i="1" s="1"/>
  <c r="F44" i="1"/>
  <c r="E44" i="1"/>
  <c r="D51" i="1" s="1"/>
  <c r="F43" i="1"/>
  <c r="G50" i="1" s="1"/>
  <c r="H50" i="1"/>
  <c r="G51" i="1"/>
  <c r="I51" i="1" s="1"/>
  <c r="H44" i="1"/>
  <c r="E49" i="1"/>
  <c r="D50" i="1"/>
  <c r="E42" i="1"/>
  <c r="G42" i="1"/>
  <c r="F42" i="1"/>
  <c r="F51" i="1" l="1"/>
  <c r="H49" i="1"/>
  <c r="E50" i="1"/>
  <c r="I50" i="1"/>
  <c r="F50" i="1"/>
  <c r="H42" i="1"/>
  <c r="D49" i="1"/>
  <c r="F49" i="1" s="1"/>
  <c r="G49" i="1"/>
  <c r="I49" i="1" l="1"/>
</calcChain>
</file>

<file path=xl/sharedStrings.xml><?xml version="1.0" encoding="utf-8"?>
<sst xmlns="http://schemas.openxmlformats.org/spreadsheetml/2006/main" count="122" uniqueCount="81">
  <si>
    <t xml:space="preserve">         META/LOG CONSTANTS</t>
  </si>
  <si>
    <t xml:space="preserve">                A Knowledge Based System For Formation Evaluation </t>
  </si>
  <si>
    <t>METRIC CONVR</t>
  </si>
  <si>
    <t>VSHMAX</t>
  </si>
  <si>
    <t>PHIMIN</t>
  </si>
  <si>
    <t>SWMAX</t>
  </si>
  <si>
    <t>PRMmin</t>
  </si>
  <si>
    <t>Used</t>
  </si>
  <si>
    <t>English</t>
  </si>
  <si>
    <t xml:space="preserve"> Metric</t>
  </si>
  <si>
    <t>frac</t>
  </si>
  <si>
    <t>md</t>
  </si>
  <si>
    <t/>
  </si>
  <si>
    <t>E. R. Crain, P.Eng.</t>
  </si>
  <si>
    <t xml:space="preserve">  to</t>
  </si>
  <si>
    <t>Depthcut</t>
  </si>
  <si>
    <t>Start line#</t>
  </si>
  <si>
    <t>PROGRAM DOCUMENTATION</t>
  </si>
  <si>
    <t>This is Metric spreadsheet</t>
  </si>
  <si>
    <t>No English units version</t>
  </si>
  <si>
    <t>To Calculate DTC, DTS, and DENS from Log Response Equation</t>
  </si>
  <si>
    <t>available yet.</t>
  </si>
  <si>
    <t xml:space="preserve">   User MUST fill in data in White cells.</t>
  </si>
  <si>
    <t xml:space="preserve">   User MAY over-write Intermediate answers in Yellow cells.</t>
  </si>
  <si>
    <t xml:space="preserve">   Final Answers log modeling values are in Pink cells.</t>
  </si>
  <si>
    <t xml:space="preserve">   Seismic model results are based on the modeled log data.</t>
  </si>
  <si>
    <t>INPUT PARAMETERS - FORMATION ROCK MODEL</t>
  </si>
  <si>
    <t>LAYER</t>
  </si>
  <si>
    <t>TOP</t>
  </si>
  <si>
    <t>BASE</t>
  </si>
  <si>
    <t>SHALE</t>
  </si>
  <si>
    <t>POROSITY</t>
  </si>
  <si>
    <t>FLUID</t>
  </si>
  <si>
    <t>LITH</t>
  </si>
  <si>
    <t>KBUCKL</t>
  </si>
  <si>
    <t>OIL GRAV</t>
  </si>
  <si>
    <t>meters</t>
  </si>
  <si>
    <t>G, O, W</t>
  </si>
  <si>
    <t>S, L, D</t>
  </si>
  <si>
    <t>API</t>
  </si>
  <si>
    <t>Shale</t>
  </si>
  <si>
    <t>W</t>
  </si>
  <si>
    <t>D</t>
  </si>
  <si>
    <t>x</t>
  </si>
  <si>
    <t>Gas</t>
  </si>
  <si>
    <t>G</t>
  </si>
  <si>
    <t>Oil</t>
  </si>
  <si>
    <t>O</t>
  </si>
  <si>
    <t>CALCULATED LOG PARAMETERS</t>
  </si>
  <si>
    <t>WATER</t>
  </si>
  <si>
    <t>MATRIX</t>
  </si>
  <si>
    <t>DTC</t>
  </si>
  <si>
    <t>DTS</t>
  </si>
  <si>
    <t>DENS</t>
  </si>
  <si>
    <t>usec/m</t>
  </si>
  <si>
    <t>Kg/m3</t>
  </si>
  <si>
    <t xml:space="preserve"> WATER SATURATION ESTIMATES</t>
  </si>
  <si>
    <t>LOG MODEL RESULTS</t>
  </si>
  <si>
    <t>SW</t>
  </si>
  <si>
    <t>PHID-LS</t>
  </si>
  <si>
    <t>us/m</t>
  </si>
  <si>
    <t>SEISMIC RESULTS</t>
  </si>
  <si>
    <t xml:space="preserve">          Interface</t>
  </si>
  <si>
    <t>Depth</t>
  </si>
  <si>
    <t>Zp1</t>
  </si>
  <si>
    <t>Zp2</t>
  </si>
  <si>
    <t>Refl</t>
  </si>
  <si>
    <t>Zs1</t>
  </si>
  <si>
    <t>Zs2</t>
  </si>
  <si>
    <t xml:space="preserve">        MODELING LOG RESPONSE FOR SEISMIC PETROPHYSICS</t>
  </si>
  <si>
    <t xml:space="preserve">                   META/LOG "SEIS"</t>
  </si>
  <si>
    <t>c..E.R.Crain, P.Eng 2018</t>
  </si>
  <si>
    <t>Water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</si>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</sst>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39">
    <font>
      <sz val="10"/>
      <name val="COUR"/>
    </font>
    <font>
      <b/>
      <sz val="10"/>
      <name val="COUR"/>
    </font>
    <font>
      <b/>
      <sz val="10"/>
      <color indexed="8"/>
      <name val="COUR"/>
    </font>
    <font>
      <b/>
      <sz val="24"/>
      <color indexed="13"/>
      <name val="Times New Roman"/>
    </font>
    <font>
      <b/>
      <sz val="10"/>
      <name val="COUR"/>
    </font>
    <font>
      <b/>
      <sz val="24"/>
      <color indexed="10"/>
      <name val="Times New Roman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COUR"/>
    </font>
    <font>
      <b/>
      <sz val="10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COUR"/>
    </font>
    <font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0"/>
      <color indexed="9"/>
      <name val="COUR"/>
    </font>
    <font>
      <sz val="10"/>
      <name val="COUR"/>
    </font>
    <font>
      <b/>
      <sz val="12"/>
      <color indexed="9"/>
      <name val="COUR"/>
    </font>
    <font>
      <b/>
      <sz val="10"/>
      <color indexed="8"/>
      <name val="COUR"/>
    </font>
    <font>
      <b/>
      <sz val="10"/>
      <color indexed="8"/>
      <name val="COUR"/>
    </font>
    <font>
      <sz val="10"/>
      <name val="COUR"/>
    </font>
    <font>
      <b/>
      <sz val="10"/>
      <color indexed="9"/>
      <name val="COUR"/>
    </font>
    <font>
      <b/>
      <sz val="12"/>
      <color indexed="9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2"/>
      <color indexed="9"/>
      <name val="COUR"/>
    </font>
    <font>
      <b/>
      <sz val="10"/>
      <color indexed="9"/>
      <name val="COUR"/>
    </font>
    <font>
      <sz val="12"/>
      <color indexed="9"/>
      <name val="COUR"/>
    </font>
    <font>
      <sz val="12"/>
      <color indexed="9"/>
      <name val="COUR"/>
    </font>
    <font>
      <b/>
      <sz val="12"/>
      <color indexed="9"/>
      <name val="COUR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13"/>
        <bgColor indexed="13"/>
      </patternFill>
    </fill>
    <fill>
      <patternFill patternType="solid">
        <fgColor indexed="12"/>
        <bgColor indexed="12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indexed="8"/>
      </top>
      <bottom/>
      <diagonal/>
    </border>
    <border>
      <left style="thick">
        <color auto="1"/>
      </left>
      <right/>
      <top style="dotted">
        <color indexed="8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8"/>
      </top>
      <bottom/>
      <diagonal/>
    </border>
    <border>
      <left/>
      <right style="thick">
        <color auto="1"/>
      </right>
      <top style="dotted">
        <color indexed="8"/>
      </top>
      <bottom/>
      <diagonal/>
    </border>
    <border>
      <left style="thick">
        <color auto="1"/>
      </left>
      <right style="dotted">
        <color indexed="8"/>
      </right>
      <top style="dotted">
        <color indexed="8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164" fontId="0" fillId="0" borderId="0"/>
    <xf numFmtId="0" fontId="37" fillId="0" borderId="0" applyNumberFormat="0" applyFill="0" applyBorder="0" applyAlignment="0" applyProtection="0"/>
  </cellStyleXfs>
  <cellXfs count="144">
    <xf numFmtId="164" fontId="27" fillId="0" borderId="0" xfId="0" applyNumberFormat="1" applyFont="1" applyAlignment="1" applyProtection="1">
      <protection locked="0"/>
    </xf>
    <xf numFmtId="164" fontId="1" fillId="0" borderId="0" xfId="0" applyNumberFormat="1" applyFont="1" applyAlignment="1"/>
    <xf numFmtId="1" fontId="2" fillId="2" borderId="0" xfId="0" applyNumberFormat="1" applyFont="1" applyFill="1" applyAlignment="1">
      <alignment horizontal="center"/>
    </xf>
    <xf numFmtId="2" fontId="3" fillId="4" borderId="1" xfId="0" applyNumberFormat="1" applyFont="1" applyFill="1" applyBorder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5" fillId="5" borderId="0" xfId="0" applyNumberFormat="1" applyFont="1" applyFill="1" applyAlignment="1"/>
    <xf numFmtId="2" fontId="6" fillId="4" borderId="0" xfId="0" applyNumberFormat="1" applyFont="1" applyFill="1" applyAlignment="1"/>
    <xf numFmtId="2" fontId="7" fillId="5" borderId="0" xfId="0" applyNumberFormat="1" applyFont="1" applyFill="1" applyAlignment="1"/>
    <xf numFmtId="2" fontId="8" fillId="4" borderId="0" xfId="0" applyNumberFormat="1" applyFont="1" applyFill="1" applyAlignment="1"/>
    <xf numFmtId="2" fontId="9" fillId="5" borderId="0" xfId="0" applyNumberFormat="1" applyFont="1" applyFill="1" applyAlignment="1">
      <alignment horizontal="right"/>
    </xf>
    <xf numFmtId="2" fontId="10" fillId="5" borderId="0" xfId="0" applyNumberFormat="1" applyFont="1" applyFill="1" applyAlignment="1"/>
    <xf numFmtId="2" fontId="11" fillId="3" borderId="1" xfId="0" applyNumberFormat="1" applyFont="1" applyFill="1" applyBorder="1" applyAlignment="1"/>
    <xf numFmtId="2" fontId="12" fillId="6" borderId="1" xfId="0" applyNumberFormat="1" applyFont="1" applyFill="1" applyBorder="1" applyAlignment="1"/>
    <xf numFmtId="2" fontId="12" fillId="6" borderId="0" xfId="0" applyNumberFormat="1" applyFont="1" applyFill="1" applyAlignment="1" applyProtection="1">
      <protection locked="0"/>
    </xf>
    <xf numFmtId="2" fontId="12" fillId="6" borderId="0" xfId="0" applyNumberFormat="1" applyFont="1" applyFill="1" applyAlignment="1"/>
    <xf numFmtId="2" fontId="13" fillId="3" borderId="0" xfId="0" applyNumberFormat="1" applyFont="1" applyFill="1" applyAlignment="1">
      <alignment horizontal="right"/>
    </xf>
    <xf numFmtId="2" fontId="14" fillId="3" borderId="1" xfId="0" applyNumberFormat="1" applyFont="1" applyFill="1" applyBorder="1" applyAlignment="1"/>
    <xf numFmtId="1" fontId="14" fillId="3" borderId="0" xfId="0" applyNumberFormat="1" applyFont="1" applyFill="1" applyAlignment="1"/>
    <xf numFmtId="165" fontId="14" fillId="3" borderId="0" xfId="0" applyNumberFormat="1" applyFont="1" applyFill="1" applyAlignment="1"/>
    <xf numFmtId="2" fontId="14" fillId="3" borderId="0" xfId="0" applyNumberFormat="1" applyFont="1" applyFill="1" applyAlignment="1"/>
    <xf numFmtId="1" fontId="15" fillId="2" borderId="3" xfId="0" applyNumberFormat="1" applyFont="1" applyFill="1" applyBorder="1" applyAlignment="1"/>
    <xf numFmtId="2" fontId="16" fillId="0" borderId="0" xfId="0" applyNumberFormat="1" applyFont="1" applyAlignment="1" applyProtection="1">
      <protection locked="0"/>
    </xf>
    <xf numFmtId="2" fontId="20" fillId="8" borderId="5" xfId="0" applyNumberFormat="1" applyFont="1" applyFill="1" applyBorder="1" applyAlignment="1"/>
    <xf numFmtId="2" fontId="20" fillId="8" borderId="0" xfId="0" applyNumberFormat="1" applyFont="1" applyFill="1" applyAlignment="1"/>
    <xf numFmtId="2" fontId="21" fillId="0" borderId="3" xfId="0" applyNumberFormat="1" applyFont="1" applyBorder="1" applyAlignment="1"/>
    <xf numFmtId="2" fontId="21" fillId="0" borderId="5" xfId="0" applyNumberFormat="1" applyFont="1" applyBorder="1" applyAlignment="1"/>
    <xf numFmtId="2" fontId="21" fillId="0" borderId="7" xfId="0" applyNumberFormat="1" applyFont="1" applyBorder="1" applyAlignment="1"/>
    <xf numFmtId="2" fontId="21" fillId="0" borderId="4" xfId="0" applyNumberFormat="1" applyFont="1" applyBorder="1" applyAlignment="1"/>
    <xf numFmtId="2" fontId="21" fillId="0" borderId="0" xfId="0" applyNumberFormat="1" applyFont="1" applyAlignment="1"/>
    <xf numFmtId="2" fontId="22" fillId="9" borderId="0" xfId="0" applyNumberFormat="1" applyFont="1" applyFill="1" applyAlignment="1" applyProtection="1">
      <alignment horizontal="center"/>
      <protection locked="0"/>
    </xf>
    <xf numFmtId="2" fontId="22" fillId="9" borderId="0" xfId="0" applyNumberFormat="1" applyFont="1" applyFill="1" applyAlignment="1">
      <alignment horizontal="center"/>
    </xf>
    <xf numFmtId="164" fontId="22" fillId="9" borderId="0" xfId="0" applyNumberFormat="1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1" fontId="25" fillId="10" borderId="7" xfId="0" applyNumberFormat="1" applyFont="1" applyFill="1" applyBorder="1" applyAlignment="1">
      <alignment horizontal="center"/>
    </xf>
    <xf numFmtId="1" fontId="25" fillId="10" borderId="8" xfId="0" applyNumberFormat="1" applyFont="1" applyFill="1" applyBorder="1" applyAlignment="1">
      <alignment horizontal="center"/>
    </xf>
    <xf numFmtId="1" fontId="26" fillId="11" borderId="8" xfId="0" applyNumberFormat="1" applyFont="1" applyFill="1" applyBorder="1" applyAlignment="1">
      <alignment horizontal="center"/>
    </xf>
    <xf numFmtId="166" fontId="26" fillId="11" borderId="8" xfId="0" applyNumberFormat="1" applyFont="1" applyFill="1" applyBorder="1" applyAlignment="1">
      <alignment horizontal="center"/>
    </xf>
    <xf numFmtId="2" fontId="28" fillId="9" borderId="0" xfId="0" applyNumberFormat="1" applyFont="1" applyFill="1" applyAlignment="1"/>
    <xf numFmtId="2" fontId="31" fillId="7" borderId="6" xfId="0" applyNumberFormat="1" applyFont="1" applyFill="1" applyBorder="1" applyAlignment="1">
      <alignment horizontal="center"/>
    </xf>
    <xf numFmtId="1" fontId="31" fillId="7" borderId="7" xfId="0" applyNumberFormat="1" applyFont="1" applyFill="1" applyBorder="1" applyAlignment="1">
      <alignment horizontal="center"/>
    </xf>
    <xf numFmtId="1" fontId="31" fillId="7" borderId="8" xfId="0" applyNumberFormat="1" applyFont="1" applyFill="1" applyBorder="1" applyAlignment="1">
      <alignment horizontal="center"/>
    </xf>
    <xf numFmtId="2" fontId="32" fillId="9" borderId="0" xfId="0" applyNumberFormat="1" applyFont="1" applyFill="1" applyAlignment="1" applyProtection="1">
      <alignment horizontal="left"/>
      <protection locked="0"/>
    </xf>
    <xf numFmtId="2" fontId="33" fillId="9" borderId="0" xfId="0" applyNumberFormat="1" applyFont="1" applyFill="1" applyAlignment="1">
      <alignment horizontal="right"/>
    </xf>
    <xf numFmtId="2" fontId="34" fillId="9" borderId="0" xfId="0" applyNumberFormat="1" applyFont="1" applyFill="1" applyAlignment="1" applyProtection="1">
      <alignment horizontal="center"/>
      <protection locked="0"/>
    </xf>
    <xf numFmtId="2" fontId="6" fillId="4" borderId="10" xfId="0" applyNumberFormat="1" applyFont="1" applyFill="1" applyBorder="1" applyAlignment="1"/>
    <xf numFmtId="2" fontId="8" fillId="4" borderId="10" xfId="0" applyNumberFormat="1" applyFont="1" applyFill="1" applyBorder="1" applyAlignment="1"/>
    <xf numFmtId="2" fontId="12" fillId="6" borderId="9" xfId="0" applyNumberFormat="1" applyFont="1" applyFill="1" applyBorder="1" applyAlignment="1"/>
    <xf numFmtId="2" fontId="12" fillId="6" borderId="10" xfId="0" applyNumberFormat="1" applyFont="1" applyFill="1" applyBorder="1" applyAlignment="1"/>
    <xf numFmtId="2" fontId="21" fillId="0" borderId="11" xfId="0" applyNumberFormat="1" applyFont="1" applyBorder="1" applyAlignment="1"/>
    <xf numFmtId="2" fontId="22" fillId="9" borderId="10" xfId="0" applyNumberFormat="1" applyFont="1" applyFill="1" applyBorder="1" applyAlignment="1">
      <alignment horizontal="center"/>
    </xf>
    <xf numFmtId="2" fontId="21" fillId="0" borderId="10" xfId="0" applyNumberFormat="1" applyFont="1" applyBorder="1" applyAlignment="1"/>
    <xf numFmtId="164" fontId="27" fillId="0" borderId="10" xfId="0" applyNumberFormat="1" applyFont="1" applyBorder="1" applyAlignment="1" applyProtection="1">
      <protection locked="0"/>
    </xf>
    <xf numFmtId="2" fontId="20" fillId="8" borderId="14" xfId="0" applyNumberFormat="1" applyFont="1" applyFill="1" applyBorder="1" applyAlignment="1"/>
    <xf numFmtId="2" fontId="20" fillId="8" borderId="15" xfId="0" applyNumberFormat="1" applyFont="1" applyFill="1" applyBorder="1" applyAlignment="1"/>
    <xf numFmtId="2" fontId="21" fillId="0" borderId="0" xfId="0" applyNumberFormat="1" applyFont="1" applyBorder="1" applyAlignment="1"/>
    <xf numFmtId="2" fontId="29" fillId="12" borderId="17" xfId="0" applyNumberFormat="1" applyFont="1" applyFill="1" applyBorder="1" applyAlignment="1"/>
    <xf numFmtId="2" fontId="30" fillId="12" borderId="18" xfId="0" applyNumberFormat="1" applyFont="1" applyFill="1" applyBorder="1" applyAlignment="1"/>
    <xf numFmtId="2" fontId="30" fillId="12" borderId="19" xfId="0" applyNumberFormat="1" applyFont="1" applyFill="1" applyBorder="1" applyAlignment="1"/>
    <xf numFmtId="0" fontId="32" fillId="9" borderId="17" xfId="0" applyNumberFormat="1" applyFont="1" applyFill="1" applyBorder="1" applyAlignment="1">
      <alignment horizontal="left"/>
    </xf>
    <xf numFmtId="2" fontId="35" fillId="9" borderId="18" xfId="0" applyNumberFormat="1" applyFont="1" applyFill="1" applyBorder="1" applyAlignment="1" applyProtection="1">
      <protection locked="0"/>
    </xf>
    <xf numFmtId="2" fontId="36" fillId="9" borderId="18" xfId="0" applyNumberFormat="1" applyFont="1" applyFill="1" applyBorder="1" applyAlignment="1"/>
    <xf numFmtId="2" fontId="36" fillId="9" borderId="19" xfId="0" applyNumberFormat="1" applyFont="1" applyFill="1" applyBorder="1" applyAlignment="1"/>
    <xf numFmtId="2" fontId="2" fillId="2" borderId="16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2" fontId="32" fillId="9" borderId="17" xfId="0" applyNumberFormat="1" applyFont="1" applyFill="1" applyBorder="1" applyAlignment="1" applyProtection="1">
      <alignment horizontal="left"/>
      <protection locked="0"/>
    </xf>
    <xf numFmtId="2" fontId="34" fillId="9" borderId="18" xfId="0" applyNumberFormat="1" applyFont="1" applyFill="1" applyBorder="1" applyAlignment="1" applyProtection="1">
      <alignment horizontal="center"/>
      <protection locked="0"/>
    </xf>
    <xf numFmtId="2" fontId="34" fillId="9" borderId="19" xfId="0" applyNumberFormat="1" applyFont="1" applyFill="1" applyBorder="1" applyAlignment="1" applyProtection="1">
      <alignment horizontal="center"/>
      <protection locked="0"/>
    </xf>
    <xf numFmtId="1" fontId="31" fillId="7" borderId="0" xfId="0" applyNumberFormat="1" applyFont="1" applyFill="1" applyBorder="1" applyAlignment="1">
      <alignment horizontal="center"/>
    </xf>
    <xf numFmtId="2" fontId="14" fillId="3" borderId="0" xfId="0" applyNumberFormat="1" applyFont="1" applyFill="1" applyBorder="1" applyAlignment="1"/>
    <xf numFmtId="2" fontId="3" fillId="4" borderId="20" xfId="0" applyNumberFormat="1" applyFont="1" applyFill="1" applyBorder="1" applyAlignment="1"/>
    <xf numFmtId="2" fontId="6" fillId="4" borderId="21" xfId="0" applyNumberFormat="1" applyFont="1" applyFill="1" applyBorder="1" applyAlignment="1"/>
    <xf numFmtId="2" fontId="8" fillId="4" borderId="21" xfId="0" applyNumberFormat="1" applyFont="1" applyFill="1" applyBorder="1" applyAlignment="1"/>
    <xf numFmtId="2" fontId="12" fillId="6" borderId="20" xfId="0" applyNumberFormat="1" applyFont="1" applyFill="1" applyBorder="1" applyAlignment="1"/>
    <xf numFmtId="2" fontId="12" fillId="6" borderId="21" xfId="0" applyNumberFormat="1" applyFont="1" applyFill="1" applyBorder="1" applyAlignment="1"/>
    <xf numFmtId="2" fontId="12" fillId="6" borderId="21" xfId="0" applyNumberFormat="1" applyFont="1" applyFill="1" applyBorder="1" applyAlignment="1" applyProtection="1">
      <protection locked="0"/>
    </xf>
    <xf numFmtId="2" fontId="20" fillId="8" borderId="21" xfId="0" applyNumberFormat="1" applyFont="1" applyFill="1" applyBorder="1" applyAlignment="1"/>
    <xf numFmtId="2" fontId="21" fillId="0" borderId="22" xfId="0" applyNumberFormat="1" applyFont="1" applyBorder="1" applyAlignment="1"/>
    <xf numFmtId="2" fontId="22" fillId="9" borderId="21" xfId="0" applyNumberFormat="1" applyFont="1" applyFill="1" applyBorder="1" applyAlignment="1">
      <alignment horizontal="center"/>
    </xf>
    <xf numFmtId="164" fontId="23" fillId="0" borderId="21" xfId="0" applyNumberFormat="1" applyFont="1" applyBorder="1" applyAlignment="1">
      <alignment horizontal="center"/>
    </xf>
    <xf numFmtId="2" fontId="16" fillId="0" borderId="21" xfId="0" applyNumberFormat="1" applyFont="1" applyBorder="1" applyAlignment="1" applyProtection="1">
      <protection locked="0"/>
    </xf>
    <xf numFmtId="2" fontId="34" fillId="9" borderId="21" xfId="0" applyNumberFormat="1" applyFont="1" applyFill="1" applyBorder="1" applyAlignment="1" applyProtection="1">
      <alignment horizontal="center"/>
      <protection locked="0"/>
    </xf>
    <xf numFmtId="1" fontId="31" fillId="7" borderId="23" xfId="0" applyNumberFormat="1" applyFont="1" applyFill="1" applyBorder="1" applyAlignment="1">
      <alignment horizontal="center"/>
    </xf>
    <xf numFmtId="2" fontId="21" fillId="0" borderId="21" xfId="0" applyNumberFormat="1" applyFont="1" applyBorder="1" applyAlignment="1"/>
    <xf numFmtId="2" fontId="33" fillId="9" borderId="21" xfId="0" applyNumberFormat="1" applyFont="1" applyFill="1" applyBorder="1" applyAlignment="1">
      <alignment horizontal="right"/>
    </xf>
    <xf numFmtId="164" fontId="27" fillId="0" borderId="21" xfId="0" applyNumberFormat="1" applyFont="1" applyBorder="1" applyAlignment="1" applyProtection="1">
      <protection locked="0"/>
    </xf>
    <xf numFmtId="2" fontId="36" fillId="9" borderId="17" xfId="0" applyNumberFormat="1" applyFont="1" applyFill="1" applyBorder="1" applyAlignment="1"/>
    <xf numFmtId="0" fontId="32" fillId="9" borderId="18" xfId="0" applyNumberFormat="1" applyFont="1" applyFill="1" applyBorder="1" applyAlignment="1">
      <alignment horizontal="left"/>
    </xf>
    <xf numFmtId="0" fontId="24" fillId="9" borderId="18" xfId="0" applyNumberFormat="1" applyFont="1" applyFill="1" applyBorder="1" applyAlignment="1">
      <alignment horizontal="center"/>
    </xf>
    <xf numFmtId="2" fontId="33" fillId="9" borderId="18" xfId="0" applyNumberFormat="1" applyFont="1" applyFill="1" applyBorder="1" applyAlignment="1">
      <alignment horizontal="right"/>
    </xf>
    <xf numFmtId="2" fontId="33" fillId="9" borderId="19" xfId="0" applyNumberFormat="1" applyFont="1" applyFill="1" applyBorder="1" applyAlignment="1">
      <alignment horizontal="right"/>
    </xf>
    <xf numFmtId="2" fontId="28" fillId="9" borderId="17" xfId="0" applyNumberFormat="1" applyFont="1" applyFill="1" applyBorder="1" applyAlignment="1"/>
    <xf numFmtId="164" fontId="22" fillId="9" borderId="18" xfId="0" applyNumberFormat="1" applyFont="1" applyFill="1" applyBorder="1" applyAlignment="1">
      <alignment horizontal="center"/>
    </xf>
    <xf numFmtId="2" fontId="28" fillId="9" borderId="18" xfId="0" applyNumberFormat="1" applyFont="1" applyFill="1" applyBorder="1" applyAlignment="1"/>
    <xf numFmtId="2" fontId="22" fillId="9" borderId="18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2" fillId="3" borderId="9" xfId="0" applyNumberFormat="1" applyFont="1" applyFill="1" applyBorder="1" applyAlignment="1"/>
    <xf numFmtId="2" fontId="32" fillId="9" borderId="10" xfId="0" applyNumberFormat="1" applyFont="1" applyFill="1" applyBorder="1" applyAlignment="1" applyProtection="1">
      <alignment horizontal="left"/>
      <protection locked="0"/>
    </xf>
    <xf numFmtId="1" fontId="25" fillId="10" borderId="12" xfId="0" applyNumberFormat="1" applyFont="1" applyFill="1" applyBorder="1" applyAlignment="1">
      <alignment horizontal="center"/>
    </xf>
    <xf numFmtId="2" fontId="28" fillId="9" borderId="10" xfId="0" applyNumberFormat="1" applyFont="1" applyFill="1" applyBorder="1" applyAlignment="1"/>
    <xf numFmtId="164" fontId="1" fillId="0" borderId="10" xfId="0" applyNumberFormat="1" applyFont="1" applyBorder="1" applyAlignment="1" applyProtection="1">
      <protection locked="0"/>
    </xf>
    <xf numFmtId="1" fontId="31" fillId="7" borderId="24" xfId="0" applyNumberFormat="1" applyFont="1" applyFill="1" applyBorder="1" applyAlignment="1">
      <alignment horizontal="center"/>
    </xf>
    <xf numFmtId="164" fontId="1" fillId="0" borderId="10" xfId="0" applyFont="1" applyBorder="1" applyAlignment="1"/>
    <xf numFmtId="164" fontId="1" fillId="0" borderId="0" xfId="0" applyFont="1" applyAlignment="1"/>
    <xf numFmtId="164" fontId="0" fillId="0" borderId="0" xfId="0" applyNumberFormat="1" applyBorder="1"/>
    <xf numFmtId="165" fontId="4" fillId="0" borderId="2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2" fontId="3" fillId="4" borderId="0" xfId="0" applyNumberFormat="1" applyFont="1" applyFill="1" applyBorder="1" applyAlignment="1"/>
    <xf numFmtId="2" fontId="6" fillId="4" borderId="0" xfId="0" applyNumberFormat="1" applyFont="1" applyFill="1" applyBorder="1" applyAlignment="1"/>
    <xf numFmtId="2" fontId="8" fillId="4" borderId="0" xfId="0" applyNumberFormat="1" applyFont="1" applyFill="1" applyBorder="1" applyAlignment="1"/>
    <xf numFmtId="2" fontId="19" fillId="3" borderId="0" xfId="0" applyNumberFormat="1" applyFont="1" applyFill="1" applyBorder="1" applyAlignment="1"/>
    <xf numFmtId="2" fontId="12" fillId="6" borderId="0" xfId="0" applyNumberFormat="1" applyFont="1" applyFill="1" applyBorder="1" applyAlignment="1"/>
    <xf numFmtId="2" fontId="12" fillId="6" borderId="0" xfId="0" applyNumberFormat="1" applyFont="1" applyFill="1" applyBorder="1" applyAlignment="1" applyProtection="1">
      <protection locked="0"/>
    </xf>
    <xf numFmtId="2" fontId="20" fillId="8" borderId="0" xfId="0" applyNumberFormat="1" applyFont="1" applyFill="1" applyBorder="1" applyAlignment="1"/>
    <xf numFmtId="2" fontId="36" fillId="9" borderId="0" xfId="0" applyNumberFormat="1" applyFont="1" applyFill="1" applyBorder="1" applyAlignment="1"/>
    <xf numFmtId="2" fontId="22" fillId="9" borderId="0" xfId="0" applyNumberFormat="1" applyFont="1" applyFill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 applyProtection="1">
      <protection locked="0"/>
    </xf>
    <xf numFmtId="2" fontId="34" fillId="9" borderId="0" xfId="0" applyNumberFormat="1" applyFont="1" applyFill="1" applyBorder="1" applyAlignment="1" applyProtection="1">
      <alignment horizontal="center"/>
      <protection locked="0"/>
    </xf>
    <xf numFmtId="2" fontId="33" fillId="9" borderId="0" xfId="0" applyNumberFormat="1" applyFont="1" applyFill="1" applyBorder="1" applyAlignment="1">
      <alignment horizontal="right"/>
    </xf>
    <xf numFmtId="164" fontId="27" fillId="0" borderId="0" xfId="0" applyNumberFormat="1" applyFont="1" applyBorder="1" applyAlignment="1" applyProtection="1">
      <protection locked="0"/>
    </xf>
    <xf numFmtId="2" fontId="37" fillId="13" borderId="26" xfId="1" applyNumberFormat="1" applyFill="1" applyBorder="1" applyAlignment="1">
      <alignment horizontal="center"/>
    </xf>
    <xf numFmtId="2" fontId="37" fillId="13" borderId="27" xfId="1" applyNumberFormat="1" applyFill="1" applyBorder="1" applyAlignment="1">
      <alignment horizontal="center"/>
    </xf>
    <xf numFmtId="0" fontId="38" fillId="0" borderId="10" xfId="0" applyNumberFormat="1" applyFont="1" applyBorder="1" applyAlignment="1"/>
    <xf numFmtId="0" fontId="38" fillId="0" borderId="0" xfId="0" applyNumberFormat="1" applyFont="1" applyAlignment="1"/>
    <xf numFmtId="0" fontId="38" fillId="0" borderId="2" xfId="0" applyNumberFormat="1" applyFont="1" applyBorder="1" applyAlignment="1"/>
    <xf numFmtId="0" fontId="38" fillId="0" borderId="1" xfId="0" applyNumberFormat="1" applyFont="1" applyBorder="1" applyAlignment="1"/>
    <xf numFmtId="0" fontId="38" fillId="0" borderId="28" xfId="0" applyNumberFormat="1" applyFont="1" applyBorder="1" applyAlignment="1"/>
    <xf numFmtId="0" fontId="38" fillId="0" borderId="0" xfId="0" applyNumberFormat="1" applyFont="1" applyAlignment="1">
      <alignment horizontal="right"/>
    </xf>
    <xf numFmtId="0" fontId="38" fillId="0" borderId="29" xfId="0" applyNumberFormat="1" applyFont="1" applyBorder="1" applyAlignment="1"/>
    <xf numFmtId="2" fontId="2" fillId="6" borderId="0" xfId="0" applyNumberFormat="1" applyFont="1" applyFill="1" applyBorder="1" applyAlignment="1"/>
    <xf numFmtId="0" fontId="38" fillId="0" borderId="30" xfId="0" applyNumberFormat="1" applyFont="1" applyBorder="1" applyAlignment="1"/>
    <xf numFmtId="0" fontId="38" fillId="0" borderId="31" xfId="0" applyNumberFormat="1" applyFont="1" applyBorder="1" applyAlignment="1"/>
    <xf numFmtId="0" fontId="38" fillId="0" borderId="32" xfId="0" applyNumberFormat="1" applyFont="1" applyBorder="1" applyAlignment="1"/>
    <xf numFmtId="0" fontId="38" fillId="0" borderId="0" xfId="0" applyNumberFormat="1" applyFont="1" applyBorder="1" applyAlignment="1"/>
    <xf numFmtId="15" fontId="38" fillId="0" borderId="30" xfId="0" applyNumberFormat="1" applyFont="1" applyBorder="1" applyAlignment="1"/>
    <xf numFmtId="2" fontId="2" fillId="6" borderId="0" xfId="0" applyNumberFormat="1" applyFont="1" applyFill="1" applyAlignment="1"/>
    <xf numFmtId="2" fontId="15" fillId="2" borderId="0" xfId="0" applyNumberFormat="1" applyFont="1" applyFill="1" applyBorder="1" applyAlignment="1" applyProtection="1">
      <protection locked="0"/>
    </xf>
    <xf numFmtId="2" fontId="15" fillId="2" borderId="0" xfId="0" applyNumberFormat="1" applyFont="1" applyFill="1" applyBorder="1" applyAlignment="1"/>
    <xf numFmtId="165" fontId="15" fillId="2" borderId="0" xfId="0" applyNumberFormat="1" applyFont="1" applyFill="1" applyBorder="1" applyAlignment="1" applyProtection="1">
      <protection locked="0"/>
    </xf>
    <xf numFmtId="2" fontId="18" fillId="2" borderId="0" xfId="0" applyNumberFormat="1" applyFont="1" applyFill="1" applyBorder="1" applyAlignment="1">
      <alignment horizontal="left"/>
    </xf>
    <xf numFmtId="1" fontId="17" fillId="7" borderId="0" xfId="0" applyNumberFormat="1" applyFont="1" applyFill="1" applyBorder="1" applyAlignment="1">
      <alignment horizontal="left"/>
    </xf>
    <xf numFmtId="20" fontId="12" fillId="6" borderId="0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55"/>
  <sheetViews>
    <sheetView tabSelected="1" showOutlineSymbols="0" defaultGridColor="0" colorId="15" zoomScale="120" zoomScaleNormal="120" workbookViewId="0"/>
  </sheetViews>
  <sheetFormatPr defaultColWidth="7.7109375" defaultRowHeight="12.75"/>
  <cols>
    <col min="7" max="7" width="5.42578125" customWidth="1"/>
    <col min="8" max="8" width="9.42578125" bestFit="1" customWidth="1"/>
    <col min="9" max="9" width="10.140625" bestFit="1" customWidth="1"/>
  </cols>
  <sheetData>
    <row r="1" spans="1:20" ht="30">
      <c r="A1" s="96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71"/>
      <c r="M1" s="108"/>
      <c r="N1" s="6" t="s">
        <v>0</v>
      </c>
      <c r="O1" s="6"/>
      <c r="P1" s="6"/>
      <c r="Q1" s="6"/>
      <c r="R1" s="6"/>
      <c r="S1" s="6"/>
      <c r="T1" s="6"/>
    </row>
    <row r="2" spans="1:20" ht="18">
      <c r="A2" s="45" t="s">
        <v>69</v>
      </c>
      <c r="B2" s="7"/>
      <c r="C2" s="7"/>
      <c r="D2" s="7"/>
      <c r="E2" s="7"/>
      <c r="F2" s="7"/>
      <c r="G2" s="7"/>
      <c r="H2" s="7"/>
      <c r="I2" s="7"/>
      <c r="J2" s="7"/>
      <c r="K2" s="7"/>
      <c r="L2" s="72"/>
      <c r="M2" s="109"/>
      <c r="N2" s="8"/>
      <c r="O2" s="8"/>
      <c r="P2" s="8"/>
      <c r="Q2" s="8"/>
      <c r="R2" s="8"/>
      <c r="S2" s="8"/>
      <c r="T2" s="8"/>
    </row>
    <row r="3" spans="1:20" ht="18">
      <c r="A3" s="45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2"/>
      <c r="M3" s="109"/>
      <c r="N3" s="8"/>
      <c r="O3" s="8"/>
      <c r="P3" s="8"/>
      <c r="Q3" s="8"/>
      <c r="R3" s="8"/>
      <c r="S3" s="8"/>
      <c r="T3" s="8"/>
    </row>
    <row r="4" spans="1:20" ht="13.5" thickBot="1">
      <c r="A4" s="46"/>
      <c r="B4" s="9"/>
      <c r="C4" s="9"/>
      <c r="D4" s="9"/>
      <c r="E4" s="9"/>
      <c r="F4" s="9"/>
      <c r="G4" s="9"/>
      <c r="H4" s="9"/>
      <c r="I4" s="9"/>
      <c r="J4" s="9"/>
      <c r="K4" s="9"/>
      <c r="L4" s="73"/>
      <c r="M4" s="110"/>
      <c r="N4" s="11" t="s">
        <v>2</v>
      </c>
      <c r="O4" s="11"/>
      <c r="P4" s="11"/>
      <c r="Q4" s="10" t="s">
        <v>3</v>
      </c>
      <c r="R4" s="10" t="s">
        <v>4</v>
      </c>
      <c r="S4" s="10" t="s">
        <v>5</v>
      </c>
      <c r="T4" s="10" t="s">
        <v>6</v>
      </c>
    </row>
    <row r="5" spans="1:20" ht="17.25" thickTop="1" thickBot="1">
      <c r="A5" s="97" t="s">
        <v>71</v>
      </c>
      <c r="B5" s="12"/>
      <c r="C5" s="12"/>
      <c r="D5" s="12"/>
      <c r="E5" s="12"/>
      <c r="F5" s="12"/>
      <c r="G5" s="12"/>
      <c r="H5" s="12"/>
      <c r="I5" s="12"/>
      <c r="J5" s="122" t="s">
        <v>73</v>
      </c>
      <c r="K5" s="122"/>
      <c r="L5" s="123"/>
      <c r="M5" s="111"/>
      <c r="N5" s="11" t="s">
        <v>7</v>
      </c>
      <c r="O5" s="11" t="s">
        <v>8</v>
      </c>
      <c r="P5" s="11" t="s">
        <v>9</v>
      </c>
      <c r="Q5" s="10" t="s">
        <v>10</v>
      </c>
      <c r="R5" s="10" t="s">
        <v>10</v>
      </c>
      <c r="S5" s="10" t="s">
        <v>10</v>
      </c>
      <c r="T5" s="10" t="s">
        <v>11</v>
      </c>
    </row>
    <row r="6" spans="1:20" ht="15" customHeight="1" thickTop="1" thickBot="1">
      <c r="A6" s="47"/>
      <c r="B6" s="13"/>
      <c r="C6" s="13"/>
      <c r="D6" s="13"/>
      <c r="E6" s="13"/>
      <c r="F6" s="13"/>
      <c r="G6" s="13"/>
      <c r="H6" s="13"/>
      <c r="I6" s="13"/>
      <c r="J6" s="13"/>
      <c r="K6" s="13"/>
      <c r="L6" s="74"/>
      <c r="M6" s="13"/>
      <c r="N6" s="17">
        <f>IF($I$12="M",P6,O6)</f>
        <v>0</v>
      </c>
      <c r="O6" s="17">
        <v>0</v>
      </c>
      <c r="P6" s="17">
        <v>1</v>
      </c>
      <c r="Q6" s="17"/>
      <c r="R6" s="17" t="s">
        <v>12</v>
      </c>
      <c r="S6" s="17"/>
      <c r="T6" s="17"/>
    </row>
    <row r="7" spans="1:20" ht="14.25" thickTop="1" thickBot="1">
      <c r="A7" s="124" t="s">
        <v>74</v>
      </c>
      <c r="B7" s="125"/>
      <c r="C7" s="126" t="s">
        <v>75</v>
      </c>
      <c r="D7" s="127"/>
      <c r="E7" s="128"/>
      <c r="F7" s="124"/>
      <c r="G7" s="129" t="s">
        <v>76</v>
      </c>
      <c r="H7" s="126" t="s">
        <v>13</v>
      </c>
      <c r="I7" s="127"/>
      <c r="J7" s="130"/>
      <c r="K7" s="131"/>
      <c r="L7" s="75"/>
      <c r="M7" s="112"/>
      <c r="N7" s="20">
        <f>IF($I$12="M",P7,O7)</f>
        <v>6.7</v>
      </c>
      <c r="O7" s="20">
        <v>6.7</v>
      </c>
      <c r="P7" s="20">
        <v>21.5</v>
      </c>
      <c r="Q7" s="20">
        <v>0.4</v>
      </c>
      <c r="R7" s="20" t="e">
        <v>#VALUE!</v>
      </c>
      <c r="S7" s="20">
        <v>1</v>
      </c>
      <c r="T7" s="20" t="e">
        <v>#VALUE!</v>
      </c>
    </row>
    <row r="8" spans="1:20" ht="14.25" thickTop="1" thickBot="1">
      <c r="A8" s="124" t="s">
        <v>77</v>
      </c>
      <c r="B8" s="125"/>
      <c r="C8" s="132" t="s">
        <v>78</v>
      </c>
      <c r="D8" s="133"/>
      <c r="E8" s="134"/>
      <c r="F8" s="135"/>
      <c r="G8" s="129" t="s">
        <v>79</v>
      </c>
      <c r="H8" s="136" t="s">
        <v>80</v>
      </c>
      <c r="I8" s="133"/>
      <c r="J8" s="128"/>
      <c r="K8" s="137"/>
      <c r="L8" s="75"/>
      <c r="M8" s="112"/>
      <c r="N8" s="20">
        <f>IF($I$12="M",P8,O8)</f>
        <v>1</v>
      </c>
      <c r="O8" s="20">
        <v>1</v>
      </c>
      <c r="P8" s="20">
        <v>1.8</v>
      </c>
      <c r="Q8" s="20" t="e">
        <v>#VALUE!</v>
      </c>
      <c r="R8" s="20" t="e">
        <v>#VALUE!</v>
      </c>
      <c r="S8" s="20">
        <v>0.5</v>
      </c>
      <c r="T8" s="20" t="e">
        <v>#VALUE!</v>
      </c>
    </row>
    <row r="9" spans="1:20" ht="13.5" thickTop="1">
      <c r="A9" s="112"/>
      <c r="B9" s="112"/>
      <c r="C9" s="138"/>
      <c r="D9" s="139"/>
      <c r="E9" s="139"/>
      <c r="F9" s="112"/>
      <c r="G9" s="112"/>
      <c r="H9" s="112"/>
      <c r="I9" s="140"/>
      <c r="J9" s="141"/>
      <c r="K9" s="15"/>
      <c r="L9" s="75"/>
      <c r="M9" s="112"/>
      <c r="N9" s="20">
        <f>IF($I$12="M",P9,O9)</f>
        <v>0</v>
      </c>
      <c r="O9" s="20">
        <v>0</v>
      </c>
      <c r="P9" s="20">
        <v>32</v>
      </c>
      <c r="Q9" s="20">
        <v>0.4</v>
      </c>
      <c r="R9" s="20" t="e">
        <v>#VALUE!</v>
      </c>
      <c r="S9" s="20">
        <v>0.3</v>
      </c>
      <c r="T9" s="20" t="e">
        <v>#VALUE!</v>
      </c>
    </row>
    <row r="10" spans="1:20">
      <c r="A10" s="112"/>
      <c r="B10" s="112"/>
      <c r="C10" s="138"/>
      <c r="D10" s="139"/>
      <c r="E10" s="139"/>
      <c r="F10" s="112"/>
      <c r="G10" s="112"/>
      <c r="H10" s="112"/>
      <c r="I10" s="138"/>
      <c r="J10" s="139"/>
      <c r="K10" s="15"/>
      <c r="L10" s="75"/>
      <c r="M10" s="112"/>
      <c r="N10" s="20">
        <f>IF($I$12="M",P10,O10)</f>
        <v>1</v>
      </c>
      <c r="O10" s="20">
        <v>1</v>
      </c>
      <c r="P10" s="20">
        <v>3.2808398950131199</v>
      </c>
      <c r="Q10" s="19">
        <v>0</v>
      </c>
      <c r="R10" s="20" t="s">
        <v>14</v>
      </c>
      <c r="S10" s="18">
        <v>99999</v>
      </c>
      <c r="T10" s="20" t="s">
        <v>15</v>
      </c>
    </row>
    <row r="11" spans="1:20">
      <c r="A11" s="112"/>
      <c r="B11" s="112"/>
      <c r="C11" s="138"/>
      <c r="D11" s="139"/>
      <c r="E11" s="139"/>
      <c r="F11" s="112"/>
      <c r="G11" s="112"/>
      <c r="H11" s="112"/>
      <c r="I11" s="142"/>
      <c r="J11" s="139"/>
      <c r="K11" s="15"/>
      <c r="L11" s="75"/>
      <c r="M11" s="112"/>
      <c r="N11" s="20">
        <f t="shared" ref="N11:N12" si="0">IF($I$12="M",P11,O11)</f>
        <v>1</v>
      </c>
      <c r="O11" s="20">
        <v>1</v>
      </c>
      <c r="P11" s="20">
        <v>0.30480000000000002</v>
      </c>
      <c r="Q11" s="20">
        <v>41</v>
      </c>
      <c r="R11" s="20" t="s">
        <v>16</v>
      </c>
      <c r="S11" s="20"/>
      <c r="T11" s="20"/>
    </row>
    <row r="12" spans="1:20">
      <c r="A12" s="112"/>
      <c r="B12" s="112"/>
      <c r="C12" s="138"/>
      <c r="D12" s="139"/>
      <c r="E12" s="112"/>
      <c r="F12" s="143"/>
      <c r="G12" s="112"/>
      <c r="H12" s="112"/>
      <c r="I12" s="140"/>
      <c r="J12" s="112"/>
      <c r="K12" s="15"/>
      <c r="L12" s="75"/>
      <c r="M12" s="112"/>
      <c r="N12" s="20">
        <f t="shared" si="0"/>
        <v>2.65</v>
      </c>
      <c r="O12" s="20">
        <v>2.65</v>
      </c>
      <c r="P12" s="18">
        <v>2650</v>
      </c>
      <c r="Q12" s="20"/>
      <c r="R12" s="20"/>
      <c r="S12" s="20"/>
      <c r="T12" s="20"/>
    </row>
    <row r="13" spans="1:20" ht="13.5" thickBot="1">
      <c r="A13" s="48"/>
      <c r="B13" s="15"/>
      <c r="C13" s="113"/>
      <c r="D13" s="112"/>
      <c r="E13" s="15"/>
      <c r="F13" s="15"/>
      <c r="G13" s="15"/>
      <c r="H13" s="15"/>
      <c r="I13" s="112"/>
      <c r="J13" s="14"/>
      <c r="K13" s="14"/>
      <c r="L13" s="76"/>
      <c r="M13" s="113"/>
      <c r="N13" s="20">
        <f>IF($I$12="M",P13,O13)</f>
        <v>2.71</v>
      </c>
      <c r="O13" s="20">
        <v>2.71</v>
      </c>
      <c r="P13" s="18">
        <v>2710</v>
      </c>
      <c r="Q13" s="20"/>
      <c r="R13" s="20"/>
      <c r="S13" s="20"/>
      <c r="T13" s="20"/>
    </row>
    <row r="14" spans="1:20" ht="17.25" thickTop="1" thickBot="1">
      <c r="A14" s="56" t="s">
        <v>17</v>
      </c>
      <c r="B14" s="57"/>
      <c r="C14" s="57"/>
      <c r="D14" s="57"/>
      <c r="E14" s="57"/>
      <c r="F14" s="57"/>
      <c r="G14" s="57"/>
      <c r="H14" s="58"/>
      <c r="I14" s="53" t="s">
        <v>18</v>
      </c>
      <c r="J14" s="53"/>
      <c r="K14" s="53"/>
      <c r="L14" s="54"/>
      <c r="M14" s="114"/>
      <c r="N14" s="20">
        <f>IF($I$12="M",P14,O14)</f>
        <v>1</v>
      </c>
      <c r="O14" s="20">
        <v>1</v>
      </c>
      <c r="P14" s="18">
        <v>1000</v>
      </c>
      <c r="Q14" s="20"/>
      <c r="R14" s="20"/>
      <c r="S14" s="20"/>
      <c r="T14" s="20"/>
    </row>
    <row r="15" spans="1:20" ht="13.5" thickTop="1">
      <c r="A15" s="51"/>
      <c r="C15" s="55"/>
      <c r="D15" s="55"/>
      <c r="E15" s="55"/>
      <c r="F15" s="55"/>
      <c r="G15" s="55"/>
      <c r="H15" s="55"/>
      <c r="I15" s="23" t="s">
        <v>19</v>
      </c>
      <c r="J15" s="24"/>
      <c r="K15" s="24"/>
      <c r="L15" s="77"/>
      <c r="M15" s="114"/>
      <c r="N15" s="20"/>
      <c r="O15" s="20"/>
      <c r="P15" s="18"/>
      <c r="Q15" s="20"/>
      <c r="R15" s="20"/>
      <c r="S15" s="20"/>
      <c r="T15" s="20"/>
    </row>
    <row r="16" spans="1:20">
      <c r="A16" s="51" t="s">
        <v>20</v>
      </c>
      <c r="C16" s="29"/>
      <c r="D16" s="29"/>
      <c r="E16" s="29"/>
      <c r="F16" s="29"/>
      <c r="G16" s="29"/>
      <c r="H16" s="29"/>
      <c r="I16" s="23" t="s">
        <v>21</v>
      </c>
      <c r="J16" s="24"/>
      <c r="K16" s="24"/>
      <c r="L16" s="77"/>
      <c r="M16" s="114"/>
      <c r="N16" s="20"/>
      <c r="O16" s="20"/>
      <c r="P16" s="18"/>
      <c r="Q16" s="20"/>
      <c r="R16" s="20"/>
      <c r="S16" s="20"/>
      <c r="T16" s="20"/>
    </row>
    <row r="17" spans="1:20">
      <c r="A17" s="49" t="s">
        <v>22</v>
      </c>
      <c r="C17" s="29"/>
      <c r="D17" s="29"/>
      <c r="E17" s="29"/>
      <c r="F17" s="29"/>
      <c r="G17" s="29"/>
      <c r="H17" s="29"/>
      <c r="I17" s="23"/>
      <c r="J17" s="24"/>
      <c r="K17" s="24"/>
      <c r="L17" s="77"/>
      <c r="M17" s="114"/>
      <c r="N17" s="20"/>
      <c r="O17" s="20"/>
      <c r="P17" s="18"/>
      <c r="Q17" s="20"/>
      <c r="R17" s="20"/>
      <c r="S17" s="20"/>
      <c r="T17" s="20"/>
    </row>
    <row r="18" spans="1:20">
      <c r="A18" s="51" t="s">
        <v>23</v>
      </c>
      <c r="C18" s="29"/>
      <c r="D18" s="29"/>
      <c r="E18" s="29"/>
      <c r="F18" s="29"/>
      <c r="G18" s="29"/>
      <c r="H18" s="29"/>
      <c r="I18" s="23"/>
      <c r="J18" s="24"/>
      <c r="K18" s="24"/>
      <c r="L18" s="77"/>
      <c r="M18" s="114"/>
      <c r="N18" s="20"/>
      <c r="O18" s="20"/>
      <c r="P18" s="18"/>
      <c r="Q18" s="20"/>
      <c r="R18" s="20"/>
      <c r="S18" s="20"/>
      <c r="T18" s="20"/>
    </row>
    <row r="19" spans="1:20">
      <c r="A19" s="51" t="s">
        <v>24</v>
      </c>
      <c r="C19" s="29"/>
      <c r="D19" s="29"/>
      <c r="E19" s="29"/>
      <c r="F19" s="29"/>
      <c r="G19" s="29"/>
      <c r="H19" s="29"/>
      <c r="I19" s="23"/>
      <c r="J19" s="24"/>
      <c r="K19" s="24"/>
      <c r="L19" s="78"/>
      <c r="M19" s="55"/>
      <c r="N19" s="20"/>
      <c r="O19" s="20"/>
      <c r="P19" s="18"/>
      <c r="Q19" s="20"/>
      <c r="R19" s="20"/>
      <c r="S19" s="20"/>
      <c r="T19" s="20"/>
    </row>
    <row r="20" spans="1:20">
      <c r="A20" s="51" t="s">
        <v>25</v>
      </c>
      <c r="C20" s="29"/>
      <c r="D20" s="29"/>
      <c r="E20" s="29"/>
      <c r="F20" s="29"/>
      <c r="G20" s="29"/>
      <c r="H20" s="29"/>
      <c r="I20" s="23"/>
      <c r="J20" s="24"/>
      <c r="K20" s="24"/>
      <c r="L20" s="78"/>
      <c r="M20" s="55"/>
      <c r="N20" s="20"/>
      <c r="O20" s="20"/>
      <c r="P20" s="18"/>
      <c r="Q20" s="20"/>
      <c r="R20" s="20"/>
      <c r="S20" s="20"/>
      <c r="T20" s="20"/>
    </row>
    <row r="21" spans="1:20" ht="13.5" thickBot="1">
      <c r="A21" s="51"/>
      <c r="B21" s="29"/>
      <c r="C21" s="29"/>
      <c r="D21" s="29"/>
      <c r="E21" s="29"/>
      <c r="F21" s="29"/>
      <c r="G21" s="29"/>
      <c r="H21" s="29"/>
      <c r="I21" s="23"/>
      <c r="J21" s="24"/>
      <c r="K21" s="24"/>
      <c r="L21" s="78"/>
      <c r="M21" s="55"/>
      <c r="N21" s="20"/>
      <c r="O21" s="20"/>
      <c r="P21" s="18"/>
      <c r="Q21" s="20"/>
      <c r="R21" s="20"/>
      <c r="S21" s="20"/>
      <c r="T21" s="20"/>
    </row>
    <row r="22" spans="1:20" ht="17.25" thickTop="1" thickBot="1">
      <c r="A22" s="59" t="s">
        <v>26</v>
      </c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2"/>
      <c r="M22" s="115"/>
      <c r="N22" s="20"/>
      <c r="O22" s="20"/>
      <c r="P22" s="18"/>
      <c r="Q22" s="20"/>
      <c r="R22" s="20"/>
      <c r="S22" s="20"/>
      <c r="T22" s="20"/>
    </row>
    <row r="23" spans="1:20" ht="13.5" thickTop="1">
      <c r="A23" s="50" t="s">
        <v>27</v>
      </c>
      <c r="B23" s="31" t="s">
        <v>28</v>
      </c>
      <c r="C23" s="31" t="s">
        <v>29</v>
      </c>
      <c r="D23" s="30" t="s">
        <v>30</v>
      </c>
      <c r="E23" s="30" t="s">
        <v>31</v>
      </c>
      <c r="F23" s="30" t="s">
        <v>32</v>
      </c>
      <c r="G23" s="30" t="s">
        <v>33</v>
      </c>
      <c r="H23" s="30" t="s">
        <v>34</v>
      </c>
      <c r="I23" s="30" t="s">
        <v>35</v>
      </c>
      <c r="J23" s="31"/>
      <c r="K23" s="31"/>
      <c r="L23" s="79"/>
      <c r="M23" s="116"/>
      <c r="N23" s="20"/>
      <c r="O23" s="20"/>
      <c r="P23" s="18"/>
      <c r="Q23" s="20"/>
      <c r="R23" s="20"/>
      <c r="S23" s="20"/>
      <c r="T23" s="20"/>
    </row>
    <row r="24" spans="1:20" ht="13.5" thickBot="1">
      <c r="A24" s="50" t="s">
        <v>36</v>
      </c>
      <c r="B24" s="31" t="s">
        <v>36</v>
      </c>
      <c r="C24" s="31" t="s">
        <v>36</v>
      </c>
      <c r="D24" s="31" t="s">
        <v>10</v>
      </c>
      <c r="E24" s="31" t="s">
        <v>10</v>
      </c>
      <c r="F24" s="31" t="s">
        <v>37</v>
      </c>
      <c r="G24" s="31" t="s">
        <v>38</v>
      </c>
      <c r="H24" s="31"/>
      <c r="I24" s="31" t="s">
        <v>39</v>
      </c>
      <c r="J24" s="31"/>
      <c r="K24" s="31"/>
      <c r="L24" s="79"/>
      <c r="M24" s="116"/>
      <c r="N24" s="20">
        <f>IF($I$12="M",P24,O24)</f>
        <v>162.6</v>
      </c>
      <c r="O24" s="20">
        <v>162.6</v>
      </c>
      <c r="P24" s="18">
        <v>2149</v>
      </c>
      <c r="Q24" s="20"/>
      <c r="R24" s="20"/>
      <c r="S24" s="20"/>
      <c r="T24" s="20"/>
    </row>
    <row r="25" spans="1:20" ht="14.25" thickTop="1" thickBot="1">
      <c r="A25" s="101" t="s">
        <v>40</v>
      </c>
      <c r="B25" s="2">
        <v>1990</v>
      </c>
      <c r="C25" s="2">
        <v>2000</v>
      </c>
      <c r="D25" s="63">
        <v>1</v>
      </c>
      <c r="E25" s="63">
        <v>0</v>
      </c>
      <c r="F25" s="63" t="s">
        <v>41</v>
      </c>
      <c r="G25" s="63" t="s">
        <v>42</v>
      </c>
      <c r="H25" s="64">
        <v>0.01</v>
      </c>
      <c r="I25" s="65" t="s">
        <v>43</v>
      </c>
      <c r="J25" s="33"/>
      <c r="L25" s="80"/>
      <c r="M25" s="117"/>
      <c r="N25" s="20"/>
      <c r="O25" s="20"/>
      <c r="P25" s="18"/>
      <c r="Q25" s="20"/>
      <c r="R25" s="20"/>
      <c r="S25" s="20"/>
      <c r="T25" s="20"/>
    </row>
    <row r="26" spans="1:20" ht="14.25" thickTop="1" thickBot="1">
      <c r="A26" s="101" t="s">
        <v>44</v>
      </c>
      <c r="B26" s="2">
        <v>2000</v>
      </c>
      <c r="C26" s="2">
        <v>2025</v>
      </c>
      <c r="D26" s="63">
        <v>0</v>
      </c>
      <c r="E26" s="63">
        <v>0.12</v>
      </c>
      <c r="F26" s="63" t="s">
        <v>45</v>
      </c>
      <c r="G26" s="63" t="s">
        <v>42</v>
      </c>
      <c r="H26" s="64">
        <v>0.01</v>
      </c>
      <c r="I26" s="65" t="s">
        <v>43</v>
      </c>
      <c r="J26" s="33"/>
      <c r="L26" s="80"/>
      <c r="M26" s="117"/>
      <c r="N26" s="20"/>
      <c r="O26" s="20"/>
      <c r="P26" s="18"/>
      <c r="Q26" s="20"/>
      <c r="R26" s="20"/>
      <c r="S26" s="20"/>
      <c r="T26" s="20"/>
    </row>
    <row r="27" spans="1:20" ht="14.25" thickTop="1" thickBot="1">
      <c r="A27" s="101" t="s">
        <v>46</v>
      </c>
      <c r="B27" s="2">
        <v>2025</v>
      </c>
      <c r="C27" s="2">
        <v>2050</v>
      </c>
      <c r="D27" s="63">
        <v>0</v>
      </c>
      <c r="E27" s="63">
        <v>0.12</v>
      </c>
      <c r="F27" s="63" t="s">
        <v>47</v>
      </c>
      <c r="G27" s="63" t="s">
        <v>42</v>
      </c>
      <c r="H27" s="64">
        <v>0.02</v>
      </c>
      <c r="I27" s="65">
        <v>42</v>
      </c>
      <c r="J27" s="33"/>
      <c r="K27" s="33"/>
      <c r="L27" s="80"/>
      <c r="M27" s="117"/>
      <c r="N27" s="20"/>
      <c r="O27" s="20"/>
      <c r="P27" s="18"/>
      <c r="Q27" s="20"/>
      <c r="R27" s="20"/>
      <c r="S27" s="20"/>
      <c r="T27" s="20"/>
    </row>
    <row r="28" spans="1:20" ht="14.25" thickTop="1" thickBot="1">
      <c r="A28" s="101" t="s">
        <v>72</v>
      </c>
      <c r="B28" s="2">
        <v>2050</v>
      </c>
      <c r="C28" s="2">
        <v>2060</v>
      </c>
      <c r="D28" s="63">
        <v>0</v>
      </c>
      <c r="E28" s="63">
        <v>0.13</v>
      </c>
      <c r="F28" s="63" t="s">
        <v>41</v>
      </c>
      <c r="G28" s="63" t="s">
        <v>42</v>
      </c>
      <c r="H28" s="64">
        <v>0.02</v>
      </c>
      <c r="I28" s="65" t="s">
        <v>43</v>
      </c>
      <c r="J28" s="33"/>
      <c r="K28" s="33"/>
      <c r="L28" s="80"/>
      <c r="M28" s="117"/>
      <c r="N28" s="20"/>
      <c r="O28" s="20"/>
      <c r="P28" s="18"/>
      <c r="Q28" s="20"/>
      <c r="R28" s="20"/>
      <c r="S28" s="20"/>
      <c r="T28" s="20"/>
    </row>
    <row r="29" spans="1:20" ht="14.25" thickTop="1" thickBot="1">
      <c r="A29" s="51"/>
      <c r="C29" s="29"/>
      <c r="D29" s="29"/>
      <c r="H29" s="29"/>
      <c r="I29" s="22"/>
      <c r="J29" s="22"/>
      <c r="K29" s="22"/>
      <c r="L29" s="81"/>
      <c r="M29" s="118"/>
      <c r="N29" s="20">
        <f>IF($I$12="M",P29,O29)</f>
        <v>162.6</v>
      </c>
      <c r="O29" s="20">
        <v>162.6</v>
      </c>
      <c r="P29" s="20">
        <v>2.149</v>
      </c>
      <c r="Q29" s="20"/>
      <c r="R29" s="20"/>
      <c r="S29" s="20"/>
      <c r="T29" s="20"/>
    </row>
    <row r="30" spans="1:20" ht="17.25" thickTop="1" thickBot="1">
      <c r="A30" s="66" t="s">
        <v>48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  <c r="M30" s="119"/>
      <c r="N30" s="20"/>
      <c r="O30" s="20"/>
      <c r="P30" s="19"/>
      <c r="Q30" s="20"/>
      <c r="R30" s="20"/>
      <c r="S30" s="20"/>
      <c r="T30" s="20"/>
    </row>
    <row r="31" spans="1:20" ht="16.5" thickTop="1">
      <c r="A31" s="98" t="s">
        <v>49</v>
      </c>
      <c r="B31" s="44"/>
      <c r="C31" s="44"/>
      <c r="D31" s="42" t="s">
        <v>30</v>
      </c>
      <c r="E31" s="44"/>
      <c r="F31" s="44"/>
      <c r="G31" s="42" t="s">
        <v>32</v>
      </c>
      <c r="H31" s="44"/>
      <c r="I31" s="44"/>
      <c r="J31" s="42" t="s">
        <v>50</v>
      </c>
      <c r="K31" s="44"/>
      <c r="L31" s="82"/>
      <c r="M31" s="119"/>
      <c r="N31" s="20"/>
      <c r="O31" s="20"/>
      <c r="P31" s="19"/>
      <c r="Q31" s="20"/>
      <c r="R31" s="20"/>
      <c r="S31" s="20"/>
      <c r="T31" s="20"/>
    </row>
    <row r="32" spans="1:20">
      <c r="A32" s="50" t="s">
        <v>51</v>
      </c>
      <c r="B32" s="31" t="s">
        <v>52</v>
      </c>
      <c r="C32" s="31" t="s">
        <v>53</v>
      </c>
      <c r="D32" s="31" t="s">
        <v>51</v>
      </c>
      <c r="E32" s="31" t="s">
        <v>52</v>
      </c>
      <c r="F32" s="31" t="s">
        <v>53</v>
      </c>
      <c r="G32" s="31" t="s">
        <v>51</v>
      </c>
      <c r="H32" s="31" t="s">
        <v>52</v>
      </c>
      <c r="I32" s="31" t="s">
        <v>53</v>
      </c>
      <c r="J32" s="31" t="s">
        <v>51</v>
      </c>
      <c r="K32" s="31" t="s">
        <v>52</v>
      </c>
      <c r="L32" s="79" t="s">
        <v>53</v>
      </c>
      <c r="M32" s="116"/>
      <c r="N32" s="20"/>
      <c r="O32" s="20"/>
      <c r="P32" s="19"/>
      <c r="Q32" s="20"/>
      <c r="R32" s="20"/>
      <c r="S32" s="20"/>
      <c r="T32" s="20"/>
    </row>
    <row r="33" spans="1:20">
      <c r="A33" s="50" t="s">
        <v>54</v>
      </c>
      <c r="B33" s="31" t="s">
        <v>54</v>
      </c>
      <c r="C33" s="31" t="s">
        <v>55</v>
      </c>
      <c r="D33" s="31" t="s">
        <v>54</v>
      </c>
      <c r="E33" s="31" t="s">
        <v>54</v>
      </c>
      <c r="F33" s="31" t="s">
        <v>55</v>
      </c>
      <c r="G33" s="31" t="s">
        <v>54</v>
      </c>
      <c r="H33" s="31" t="s">
        <v>54</v>
      </c>
      <c r="I33" s="31" t="s">
        <v>55</v>
      </c>
      <c r="J33" s="31" t="s">
        <v>54</v>
      </c>
      <c r="K33" s="31" t="s">
        <v>54</v>
      </c>
      <c r="L33" s="79" t="s">
        <v>55</v>
      </c>
      <c r="M33" s="116"/>
      <c r="N33" s="20"/>
      <c r="O33" s="20"/>
      <c r="P33" s="19"/>
      <c r="Q33" s="20"/>
      <c r="R33" s="20"/>
      <c r="S33" s="20"/>
      <c r="T33" s="20"/>
    </row>
    <row r="34" spans="1:20">
      <c r="A34" s="99">
        <v>656</v>
      </c>
      <c r="B34" s="35">
        <f>1.6*DTCW</f>
        <v>1049.6000000000001</v>
      </c>
      <c r="C34" s="35">
        <v>1000</v>
      </c>
      <c r="D34" s="34">
        <v>200</v>
      </c>
      <c r="E34" s="35">
        <f>1.7*DTCSH</f>
        <v>340</v>
      </c>
      <c r="F34" s="35">
        <v>2700</v>
      </c>
      <c r="G34" s="40">
        <f>IF(FLUIDTYPE="W",DTCW,IF(FLUIDTYPE="O",610+4*I25,MAX(650,(1100*3.281-650)/3048*(3048-DEPTH)+650)))</f>
        <v>656</v>
      </c>
      <c r="H34" s="41">
        <f>DTSW</f>
        <v>1049.6000000000001</v>
      </c>
      <c r="I34" s="69">
        <f>IF(FLUIDTYPE="W",DENSW,IF(FLUIDTYPE="O",8829.6/(131.5+I25)/62.4*1000,MIN(400,(0-400)/3048*(3048-DEPTH)+400)))</f>
        <v>1000</v>
      </c>
      <c r="J34" s="102">
        <f>IF(LITHTYPE="S",182,IF(LITHTYPE="L",155,144))</f>
        <v>144</v>
      </c>
      <c r="K34" s="41">
        <f>IF(LITHTYPE="S",182*1.6,IF(LITHTYPE="L",155*1.9,144*1.7))</f>
        <v>244.79999999999998</v>
      </c>
      <c r="L34" s="83">
        <f>IF(LITHTYPE="S",2650,IF(LITHTYPE="L",2710,2870))</f>
        <v>2870</v>
      </c>
      <c r="M34" s="69"/>
      <c r="N34" s="70"/>
      <c r="O34" s="20"/>
      <c r="P34" s="19"/>
      <c r="Q34" s="20"/>
      <c r="R34" s="20"/>
      <c r="S34" s="20"/>
      <c r="T34" s="20"/>
    </row>
    <row r="35" spans="1:20">
      <c r="A35" s="99">
        <v>656</v>
      </c>
      <c r="B35" s="35">
        <f>1.6*A35</f>
        <v>1049.6000000000001</v>
      </c>
      <c r="C35" s="35">
        <v>1000</v>
      </c>
      <c r="D35" s="34">
        <v>200</v>
      </c>
      <c r="E35" s="35">
        <f>1.7*D35</f>
        <v>340</v>
      </c>
      <c r="F35" s="35">
        <v>2700</v>
      </c>
      <c r="G35" s="40">
        <f>IF(F26="W",A35,IF(F26="O",610+4*I26,MAX(650,(1100*3.281-650)/3048*(3048-C26)+650)))</f>
        <v>1643.1625000000001</v>
      </c>
      <c r="H35" s="41">
        <f>B35</f>
        <v>1049.6000000000001</v>
      </c>
      <c r="I35" s="69">
        <f>IF(F26="W",C35,IF(F26="O",8829.6/(131.5+I26)/62.4*1000,MIN(400,(0-400)/3048*(3048-C26)+400)))</f>
        <v>265.74803149606299</v>
      </c>
      <c r="J35" s="102">
        <f>IF(G26="S",182,IF(G26="L",155,144))</f>
        <v>144</v>
      </c>
      <c r="K35" s="41">
        <f>IF(G26="S",182*1.6,IF(G26="L",155*1.9,144*1.7))</f>
        <v>244.79999999999998</v>
      </c>
      <c r="L35" s="83">
        <f>IF(G26="S",2650,IF(G26="L",2710,2870))</f>
        <v>2870</v>
      </c>
      <c r="M35" s="69"/>
      <c r="N35" s="70"/>
      <c r="O35" s="20"/>
      <c r="P35" s="19"/>
      <c r="Q35" s="20"/>
      <c r="R35" s="20"/>
      <c r="S35" s="20"/>
      <c r="T35" s="20"/>
    </row>
    <row r="36" spans="1:20">
      <c r="A36" s="99">
        <v>656</v>
      </c>
      <c r="B36" s="35">
        <f>1.6*A36</f>
        <v>1049.6000000000001</v>
      </c>
      <c r="C36" s="35">
        <v>1000</v>
      </c>
      <c r="D36" s="34">
        <v>200</v>
      </c>
      <c r="E36" s="35">
        <f>1.7*D36</f>
        <v>340</v>
      </c>
      <c r="F36" s="35">
        <v>2700</v>
      </c>
      <c r="G36" s="40">
        <f>IF(F27="W",A36,IF(F27="O",610+4*I27,MAX(650,(1100*3.281-650)/3048*(3048-C27)+650)))</f>
        <v>778</v>
      </c>
      <c r="H36" s="41">
        <f>B36</f>
        <v>1049.6000000000001</v>
      </c>
      <c r="I36" s="69">
        <f>IF(F27="W",C36,IF(F27="O",8829.6/(131.5+I27)/62.4*1000,MIN(400,(0-400)/3048*(3048-C27)+400)))</f>
        <v>815.56195965417874</v>
      </c>
      <c r="J36" s="102">
        <f>IF(G27="S",182,IF(G27="L",155,144))</f>
        <v>144</v>
      </c>
      <c r="K36" s="41">
        <f>IF(G27="S",182*1.6,IF(G27="L",155*1.9,144*1.7))</f>
        <v>244.79999999999998</v>
      </c>
      <c r="L36" s="83">
        <f>IF(G27="S",2650,IF(G27="L",2710,2870))</f>
        <v>2870</v>
      </c>
      <c r="M36" s="69"/>
      <c r="N36" s="70"/>
      <c r="O36" s="20"/>
      <c r="P36" s="19"/>
      <c r="Q36" s="20"/>
      <c r="R36" s="20"/>
      <c r="S36" s="20"/>
      <c r="T36" s="20"/>
    </row>
    <row r="37" spans="1:20">
      <c r="A37" s="99">
        <v>656</v>
      </c>
      <c r="B37" s="35">
        <f>1.6*A37</f>
        <v>1049.6000000000001</v>
      </c>
      <c r="C37" s="35">
        <v>1000</v>
      </c>
      <c r="D37" s="34">
        <v>200</v>
      </c>
      <c r="E37" s="35">
        <f>1.7*D37</f>
        <v>340</v>
      </c>
      <c r="F37" s="35">
        <v>2700</v>
      </c>
      <c r="G37" s="40">
        <f>IF(F28="W",A37,IF(F28="O",610+4*I28,MAX(650,(1100*3.281-650)/3048*(3048-C28)+650)))</f>
        <v>656</v>
      </c>
      <c r="H37" s="41">
        <f>B37</f>
        <v>1049.6000000000001</v>
      </c>
      <c r="I37" s="69">
        <f>IF(F28="W",C37,IF(F28="O",8829.6/(131.5+I28)/62.4*1000,MIN(400,(0-400)/3048*(3048-C28)+400)))</f>
        <v>1000</v>
      </c>
      <c r="J37" s="102">
        <f>IF(G28="S",182,IF(G28="L",155,144))</f>
        <v>144</v>
      </c>
      <c r="K37" s="41">
        <f>IF(G28="S",182*1.6,IF(G28="L",155*1.9,144*1.7))</f>
        <v>244.79999999999998</v>
      </c>
      <c r="L37" s="83">
        <f>IF(G28="S",2650,IF(G28="L",2710,2870))</f>
        <v>2870</v>
      </c>
      <c r="M37" s="69"/>
      <c r="N37" s="70"/>
      <c r="O37" s="20"/>
      <c r="P37" s="19"/>
      <c r="Q37" s="20"/>
      <c r="R37" s="20"/>
      <c r="S37" s="20"/>
      <c r="T37" s="20"/>
    </row>
    <row r="38" spans="1:20" ht="13.5" thickBot="1">
      <c r="A38" s="51"/>
      <c r="B38" s="21"/>
      <c r="C38" s="29"/>
      <c r="D38" s="29"/>
      <c r="E38" s="29"/>
      <c r="F38" s="29"/>
      <c r="G38" s="29"/>
      <c r="H38" s="25"/>
      <c r="I38" s="29"/>
      <c r="J38" s="29"/>
      <c r="K38" s="29"/>
      <c r="L38" s="84"/>
      <c r="M38" s="55"/>
      <c r="N38" s="20"/>
      <c r="O38" s="20"/>
      <c r="P38" s="19"/>
      <c r="Q38" s="20"/>
      <c r="R38" s="20"/>
      <c r="S38" s="20"/>
      <c r="T38" s="20"/>
    </row>
    <row r="39" spans="1:20" ht="17.25" thickTop="1" thickBot="1">
      <c r="A39" s="87" t="s">
        <v>56</v>
      </c>
      <c r="B39" s="60"/>
      <c r="C39" s="60"/>
      <c r="D39" s="61"/>
      <c r="E39" s="88" t="s">
        <v>57</v>
      </c>
      <c r="F39" s="89"/>
      <c r="G39" s="89"/>
      <c r="H39" s="89"/>
      <c r="I39" s="61"/>
      <c r="J39" s="61"/>
      <c r="K39" s="61"/>
      <c r="L39" s="62"/>
      <c r="M39" s="115"/>
      <c r="N39" s="20"/>
      <c r="O39" s="20"/>
      <c r="P39" s="19"/>
      <c r="Q39" s="20"/>
      <c r="R39" s="20"/>
      <c r="S39" s="20"/>
      <c r="T39" s="20"/>
    </row>
    <row r="40" spans="1:20" ht="13.5" thickTop="1">
      <c r="A40" s="100"/>
      <c r="B40" s="32" t="s">
        <v>58</v>
      </c>
      <c r="C40" s="38"/>
      <c r="D40" s="38"/>
      <c r="E40" s="31" t="s">
        <v>51</v>
      </c>
      <c r="F40" s="31" t="s">
        <v>52</v>
      </c>
      <c r="G40" s="31" t="s">
        <v>53</v>
      </c>
      <c r="H40" s="31" t="s">
        <v>59</v>
      </c>
      <c r="I40" s="43"/>
      <c r="J40" s="43"/>
      <c r="K40" s="43"/>
      <c r="L40" s="85"/>
      <c r="M40" s="120"/>
      <c r="N40" s="20"/>
      <c r="O40" s="20"/>
      <c r="P40" s="19"/>
      <c r="Q40" s="20"/>
      <c r="R40" s="20"/>
      <c r="S40" s="20"/>
      <c r="T40" s="20"/>
    </row>
    <row r="41" spans="1:20">
      <c r="A41" s="100"/>
      <c r="B41" s="32" t="s">
        <v>10</v>
      </c>
      <c r="C41" s="38"/>
      <c r="D41" s="38"/>
      <c r="E41" s="31" t="s">
        <v>60</v>
      </c>
      <c r="F41" s="31" t="s">
        <v>60</v>
      </c>
      <c r="G41" s="31" t="s">
        <v>55</v>
      </c>
      <c r="H41" s="31" t="s">
        <v>10</v>
      </c>
      <c r="I41" s="43"/>
      <c r="J41" s="43"/>
      <c r="K41" s="43"/>
      <c r="L41" s="85"/>
      <c r="M41" s="120"/>
      <c r="N41" s="20"/>
      <c r="O41" s="20"/>
      <c r="P41" s="19"/>
      <c r="Q41" s="20"/>
      <c r="R41" s="20"/>
      <c r="S41" s="20"/>
      <c r="T41" s="20"/>
    </row>
    <row r="42" spans="1:20">
      <c r="A42" s="51" t="str">
        <f>A25</f>
        <v>Shale</v>
      </c>
      <c r="B42" s="39">
        <f>IF(FLUIDTYPE="W",1,MIN(1,KBUCKL/(PHI+0.0001)))</f>
        <v>1</v>
      </c>
      <c r="C42" s="26"/>
      <c r="D42" s="27"/>
      <c r="E42" s="36">
        <f>PHI*SW*DTCW+PHI*(1-SW)*DTCHY+VSH*DTCSH+(1-PHI-VSH)*DTCMA</f>
        <v>200</v>
      </c>
      <c r="F42" s="36">
        <f>PHI*SW*DTSW+PHI*(1-SW)*DTSHY+VSH*DTSSH+(1-PHI-VSH)*DTSMA</f>
        <v>340</v>
      </c>
      <c r="G42" s="36">
        <f>PHI*SW*DENSW+PHI*(1-SW)*DENSHY+VSH*DENSSH+(1-PHI-VSH)*DENSMA</f>
        <v>2700</v>
      </c>
      <c r="H42" s="37">
        <f>(2710-G42)/1710</f>
        <v>5.8479532163742687E-3</v>
      </c>
      <c r="I42" s="28"/>
      <c r="J42" s="29"/>
      <c r="K42" s="29"/>
      <c r="L42" s="84"/>
      <c r="M42" s="55"/>
      <c r="N42" s="20"/>
      <c r="O42" s="16"/>
      <c r="P42" s="16"/>
      <c r="Q42" s="20"/>
      <c r="R42" s="20"/>
      <c r="S42" s="20"/>
      <c r="T42" s="20"/>
    </row>
    <row r="43" spans="1:20">
      <c r="A43" s="51" t="str">
        <f>A26</f>
        <v>Gas</v>
      </c>
      <c r="B43" s="39">
        <f>IF(F26="W",1,MIN(1,H26/(E26+0.0001)))</f>
        <v>8.3263946711074108E-2</v>
      </c>
      <c r="C43" s="26"/>
      <c r="D43" s="27"/>
      <c r="E43" s="36">
        <f>E26*B43*A35+E26*(1-B43)*G35+D26*D35+(1-E26-D26)*J35</f>
        <v>314.03609450457952</v>
      </c>
      <c r="F43" s="36">
        <f>E26*B43*B35+E26*(1-B43)*H35+D26*E35+(1-E26-D26)*K35</f>
        <v>341.37599999999998</v>
      </c>
      <c r="G43" s="36">
        <f>E26*B43*C35+E26*(1-B43)*I35+D26*F35+(1-E26-D26)*L35</f>
        <v>2564.8261697928892</v>
      </c>
      <c r="H43" s="37">
        <f>(2710-G43)/1710</f>
        <v>8.4896976729304546E-2</v>
      </c>
      <c r="I43" s="28"/>
      <c r="J43" s="29"/>
      <c r="K43" s="29"/>
      <c r="L43" s="84"/>
      <c r="M43" s="55"/>
      <c r="N43" s="20"/>
      <c r="O43" s="16"/>
      <c r="P43" s="16"/>
      <c r="Q43" s="20"/>
      <c r="R43" s="20"/>
      <c r="S43" s="20"/>
      <c r="T43" s="20"/>
    </row>
    <row r="44" spans="1:20">
      <c r="A44" s="51" t="str">
        <f>A27</f>
        <v>Oil</v>
      </c>
      <c r="B44" s="39">
        <f>IF(F27="W",1,MIN(1,H27/(E27+0.0001)))</f>
        <v>0.16652789342214822</v>
      </c>
      <c r="C44" s="26"/>
      <c r="D44" s="27"/>
      <c r="E44" s="36">
        <f>E27*B44*A36+E27*(1-B44)*G36+D27*D36+(1-E27-D27)*J36</f>
        <v>217.64203164029973</v>
      </c>
      <c r="F44" s="36">
        <f>E27*B44*B36+E27*(1-B44)*H36+D27*E36+(1-E27-D27)*K36</f>
        <v>341.37599999999998</v>
      </c>
      <c r="G44" s="36">
        <f>E27*B44*C36+E27*(1-B44)*I36+D27*F36+(1-E27-D27)*L36</f>
        <v>2627.1531245575852</v>
      </c>
      <c r="H44" s="37">
        <f>(2710-G44)/1710</f>
        <v>4.8448465171002798E-2</v>
      </c>
      <c r="I44" s="28"/>
      <c r="J44" s="29"/>
      <c r="K44" s="29"/>
      <c r="L44" s="84"/>
      <c r="M44" s="55"/>
      <c r="N44" s="20"/>
      <c r="O44" s="16"/>
      <c r="P44" s="16"/>
      <c r="Q44" s="20"/>
      <c r="R44" s="20"/>
      <c r="S44" s="20"/>
      <c r="T44" s="20"/>
    </row>
    <row r="45" spans="1:20">
      <c r="A45" s="51" t="str">
        <f>A28</f>
        <v>Water</v>
      </c>
      <c r="B45" s="39">
        <f>IF(F28="W",1,MIN(1,H28/(E28+0.0001)))</f>
        <v>1</v>
      </c>
      <c r="C45" s="26"/>
      <c r="D45" s="27"/>
      <c r="E45" s="36">
        <f>E28*B45*A37+E28*(1-B45)*G37+D28*D37+(1-E28-D28)*J37</f>
        <v>210.56</v>
      </c>
      <c r="F45" s="36">
        <f>E28*B45*B37+E28*(1-B45)*H37+D28*E37+(1-E28-D28)*K37</f>
        <v>349.42399999999998</v>
      </c>
      <c r="G45" s="36">
        <f>E28*B45*C37+E28*(1-B45)*I37+D28*F37+(1-E28-D28)*L37</f>
        <v>2626.9</v>
      </c>
      <c r="H45" s="37">
        <f>(2710-G45)/1710</f>
        <v>4.8596491228070124E-2</v>
      </c>
      <c r="I45" s="28"/>
      <c r="J45" s="29"/>
      <c r="K45" s="29"/>
      <c r="L45" s="84"/>
      <c r="M45" s="55"/>
      <c r="N45" s="20"/>
      <c r="O45" s="16"/>
      <c r="P45" s="16"/>
      <c r="Q45" s="20"/>
      <c r="R45" s="20"/>
      <c r="S45" s="20"/>
      <c r="T45" s="20"/>
    </row>
    <row r="46" spans="1:20" ht="13.5" thickBot="1">
      <c r="A46" s="51"/>
      <c r="B46" s="29"/>
      <c r="C46" s="29"/>
      <c r="D46" s="25"/>
      <c r="E46" s="25"/>
      <c r="F46" s="25"/>
      <c r="G46" s="25"/>
      <c r="H46" s="25"/>
      <c r="I46" s="29"/>
      <c r="J46" s="29"/>
      <c r="K46" s="29"/>
      <c r="L46" s="84"/>
      <c r="M46" s="55"/>
      <c r="N46" s="20"/>
      <c r="O46" s="16"/>
      <c r="P46" s="16"/>
      <c r="Q46" s="20"/>
      <c r="R46" s="20"/>
      <c r="S46" s="20"/>
      <c r="T46" s="20"/>
    </row>
    <row r="47" spans="1:20" ht="17.25" thickTop="1" thickBot="1">
      <c r="A47" s="87" t="s">
        <v>61</v>
      </c>
      <c r="B47" s="60"/>
      <c r="C47" s="60"/>
      <c r="D47" s="61"/>
      <c r="E47" s="88"/>
      <c r="F47" s="89"/>
      <c r="G47" s="89"/>
      <c r="H47" s="89"/>
      <c r="I47" s="61"/>
      <c r="J47" s="90"/>
      <c r="K47" s="90"/>
      <c r="L47" s="91"/>
      <c r="M47" s="120"/>
      <c r="N47" s="20"/>
      <c r="O47" s="16"/>
      <c r="P47" s="16"/>
      <c r="Q47" s="20"/>
      <c r="R47" s="20"/>
      <c r="S47" s="20"/>
      <c r="T47" s="20"/>
    </row>
    <row r="48" spans="1:20" ht="14.25" thickTop="1" thickBot="1">
      <c r="A48" s="100" t="s">
        <v>62</v>
      </c>
      <c r="B48" s="32"/>
      <c r="C48" s="31" t="s">
        <v>63</v>
      </c>
      <c r="D48" s="31" t="s">
        <v>64</v>
      </c>
      <c r="E48" s="31" t="s">
        <v>65</v>
      </c>
      <c r="F48" s="31" t="s">
        <v>66</v>
      </c>
      <c r="G48" s="31" t="s">
        <v>67</v>
      </c>
      <c r="H48" s="31" t="s">
        <v>68</v>
      </c>
      <c r="I48" s="31" t="s">
        <v>66</v>
      </c>
      <c r="J48" s="31"/>
      <c r="K48" s="43"/>
      <c r="L48" s="85"/>
      <c r="M48" s="120"/>
    </row>
    <row r="49" spans="1:13" ht="14.25" thickTop="1" thickBot="1">
      <c r="A49" s="103" t="str">
        <f>A25</f>
        <v>Shale</v>
      </c>
      <c r="B49" s="104" t="str">
        <f t="shared" ref="B49:C51" si="1">A26</f>
        <v>Gas</v>
      </c>
      <c r="C49" s="4">
        <f t="shared" si="1"/>
        <v>2000</v>
      </c>
      <c r="D49" s="106">
        <f>G42/E42</f>
        <v>13.5</v>
      </c>
      <c r="E49" s="106">
        <f>G43/E43</f>
        <v>8.1672973733772078</v>
      </c>
      <c r="F49" s="107">
        <f>(E49-D49)/(E49+D49)</f>
        <v>-0.24611757224392594</v>
      </c>
      <c r="G49" s="106">
        <f>G42/F42</f>
        <v>7.9411764705882355</v>
      </c>
      <c r="H49" s="106">
        <f>G43/F43</f>
        <v>7.5132000193126913</v>
      </c>
      <c r="I49" s="107">
        <f>(H49-G49)/(H49+G49)</f>
        <v>-2.7692896672681475E-2</v>
      </c>
      <c r="J49" s="5"/>
      <c r="K49" s="1"/>
      <c r="L49" s="86"/>
      <c r="M49" s="121"/>
    </row>
    <row r="50" spans="1:13" ht="14.25" thickTop="1" thickBot="1">
      <c r="A50" s="103" t="str">
        <f>A26</f>
        <v>Gas</v>
      </c>
      <c r="B50" s="104" t="str">
        <f t="shared" si="1"/>
        <v>Oil</v>
      </c>
      <c r="C50" s="4">
        <f t="shared" si="1"/>
        <v>2025</v>
      </c>
      <c r="D50" s="106">
        <f>G43/E43</f>
        <v>8.1672973733772078</v>
      </c>
      <c r="E50" s="106">
        <f>G44/E44</f>
        <v>12.070982359232525</v>
      </c>
      <c r="F50" s="107">
        <f>(E50-D50)/(E50+D50)</f>
        <v>0.19288620561782976</v>
      </c>
      <c r="G50" s="106">
        <f>G43/F43</f>
        <v>7.5132000193126913</v>
      </c>
      <c r="H50" s="106">
        <f>G44/F44</f>
        <v>7.6957756976400962</v>
      </c>
      <c r="I50" s="107">
        <f>(H50-G50)/(H50+G50)</f>
        <v>1.2004469053356146E-2</v>
      </c>
      <c r="J50" s="5"/>
      <c r="K50" s="1"/>
      <c r="L50" s="86"/>
      <c r="M50" s="121"/>
    </row>
    <row r="51" spans="1:13" ht="14.25" thickTop="1" thickBot="1">
      <c r="A51" s="103" t="str">
        <f>A27</f>
        <v>Oil</v>
      </c>
      <c r="B51" s="104" t="str">
        <f t="shared" si="1"/>
        <v>Water</v>
      </c>
      <c r="C51" s="4">
        <f t="shared" si="1"/>
        <v>2050</v>
      </c>
      <c r="D51" s="106">
        <f>G44/E44</f>
        <v>12.070982359232525</v>
      </c>
      <c r="E51" s="106">
        <f>G45/E45</f>
        <v>12.475778875379939</v>
      </c>
      <c r="F51" s="107">
        <f>(E51-D51)/(E51+D51)</f>
        <v>1.649083201968924E-2</v>
      </c>
      <c r="G51" s="106">
        <f>G44/F44</f>
        <v>7.6957756976400962</v>
      </c>
      <c r="H51" s="106">
        <f>G45/F45</f>
        <v>7.5178007234763502</v>
      </c>
      <c r="I51" s="107">
        <f>(H51-G51)/(H51+G51)</f>
        <v>-1.1698431009076648E-2</v>
      </c>
      <c r="J51" s="5"/>
      <c r="K51" s="1"/>
      <c r="L51" s="86"/>
      <c r="M51" s="121"/>
    </row>
    <row r="52" spans="1:13" ht="13.5" thickTop="1">
      <c r="A52" s="52"/>
      <c r="D52" s="105"/>
      <c r="E52" s="105"/>
      <c r="F52" s="105"/>
      <c r="G52" s="105"/>
      <c r="H52" s="105"/>
      <c r="I52" s="105"/>
      <c r="L52" s="86"/>
      <c r="M52" s="121"/>
    </row>
    <row r="53" spans="1:13" ht="13.5" thickBot="1">
      <c r="A53" s="100"/>
      <c r="B53" s="32"/>
      <c r="C53" s="38"/>
      <c r="D53" s="38"/>
      <c r="E53" s="38"/>
      <c r="F53" s="31"/>
      <c r="G53" s="31"/>
      <c r="H53" s="31"/>
      <c r="I53" s="31"/>
      <c r="J53" s="43"/>
      <c r="K53" s="43"/>
      <c r="L53" s="85"/>
      <c r="M53" s="120"/>
    </row>
    <row r="54" spans="1:13" ht="14.25" thickTop="1" thickBot="1">
      <c r="A54" s="92"/>
      <c r="B54" s="93"/>
      <c r="C54" s="94"/>
      <c r="D54" s="94"/>
      <c r="E54" s="94"/>
      <c r="F54" s="95"/>
      <c r="G54" s="95"/>
      <c r="H54" s="95"/>
      <c r="I54" s="95"/>
      <c r="J54" s="90"/>
      <c r="K54" s="90"/>
      <c r="L54" s="91"/>
      <c r="M54" s="120"/>
    </row>
    <row r="55" spans="1:13" ht="13.5" thickTop="1"/>
  </sheetData>
  <mergeCells count="1">
    <mergeCell ref="J5:L5"/>
  </mergeCells>
  <hyperlinks>
    <hyperlink ref="J5" r:id="rId1"/>
  </hyperlinks>
  <pageMargins left="2.35" right="0.25" top="3.125" bottom="0.57499999999999996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4metaseis</vt:lpstr>
      <vt:lpstr>ANSWERS</vt:lpstr>
      <vt:lpstr>DENSHY</vt:lpstr>
      <vt:lpstr>DENSMA</vt:lpstr>
      <vt:lpstr>DENSSH</vt:lpstr>
      <vt:lpstr>DENSW</vt:lpstr>
      <vt:lpstr>DEPTH</vt:lpstr>
      <vt:lpstr>DTCHY</vt:lpstr>
      <vt:lpstr>DTCMA</vt:lpstr>
      <vt:lpstr>DTCSH</vt:lpstr>
      <vt:lpstr>DTCW</vt:lpstr>
      <vt:lpstr>DTSHY</vt:lpstr>
      <vt:lpstr>DTSMA</vt:lpstr>
      <vt:lpstr>DTSSH</vt:lpstr>
      <vt:lpstr>DTSW</vt:lpstr>
      <vt:lpstr>FLUIDTYPE</vt:lpstr>
      <vt:lpstr>HEADER</vt:lpstr>
      <vt:lpstr>KBUCKL</vt:lpstr>
      <vt:lpstr>LITHTYPE</vt:lpstr>
      <vt:lpstr>LOGO</vt:lpstr>
      <vt:lpstr>PARAMETERS</vt:lpstr>
      <vt:lpstr>PHI</vt:lpstr>
      <vt:lpstr>RAW_DATA</vt:lpstr>
      <vt:lpstr>SW</vt:lpstr>
      <vt:lpstr>VSH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2013-09-03T17:46:04Z</dcterms:created>
  <dcterms:modified xsi:type="dcterms:W3CDTF">2018-10-03T04:16:46Z</dcterms:modified>
</cp:coreProperties>
</file>